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5480" windowHeight="7725" tabRatio="797" activeTab="0"/>
  </bookViews>
  <sheets>
    <sheet name="Заголовок" sheetId="1" r:id="rId1"/>
    <sheet name="2018." sheetId="2" r:id="rId2"/>
    <sheet name="Лист2" sheetId="3" r:id="rId3"/>
  </sheets>
  <definedNames>
    <definedName name="sub_11" localSheetId="0">'Заголовок'!#REF!</definedName>
    <definedName name="sub_111" localSheetId="0">'Заголовок'!#REF!</definedName>
    <definedName name="sub_112" localSheetId="0">'Заголовок'!#REF!</definedName>
    <definedName name="sub_113" localSheetId="0">'Заголовок'!#REF!</definedName>
    <definedName name="sub_114" localSheetId="0">'Заголовок'!#REF!</definedName>
    <definedName name="sub_12" localSheetId="0">'Заголовок'!#REF!</definedName>
    <definedName name="sub_121" localSheetId="0">'Заголовок'!#REF!</definedName>
    <definedName name="sub_122" localSheetId="0">'Заголовок'!#REF!</definedName>
    <definedName name="sub_13010" localSheetId="0">'Заголовок'!#REF!</definedName>
    <definedName name="sub_13011" localSheetId="0">'Заголовок'!#REF!</definedName>
    <definedName name="sub_13012" localSheetId="0">'Заголовок'!#REF!</definedName>
    <definedName name="sub_13013" localSheetId="0">'Заголовок'!#REF!</definedName>
    <definedName name="sub_13020" localSheetId="0">'Заголовок'!#REF!</definedName>
    <definedName name="sub_1404" localSheetId="0">'Заголовок'!#REF!</definedName>
    <definedName name="sub_2100" localSheetId="0">'Заголовок'!#REF!</definedName>
    <definedName name="sub_2111" localSheetId="0">'Заголовок'!#REF!</definedName>
    <definedName name="sub_2112" localSheetId="0">'Заголовок'!#REF!</definedName>
    <definedName name="sub_2113" localSheetId="0">'Заголовок'!#REF!</definedName>
    <definedName name="sub_22" localSheetId="0">'Заголовок'!#REF!</definedName>
    <definedName name="sub_221" localSheetId="0">'Заголовок'!#REF!</definedName>
    <definedName name="sub_2210" localSheetId="0">'Заголовок'!#REF!</definedName>
    <definedName name="sub_222" localSheetId="0">'Заголовок'!#REF!</definedName>
    <definedName name="sub_223" localSheetId="0">'Заголовок'!#REF!</definedName>
    <definedName name="sub_224" localSheetId="0">'Заголовок'!#REF!</definedName>
    <definedName name="sub_225" localSheetId="0">'Заголовок'!#REF!</definedName>
    <definedName name="sub_226" localSheetId="0">'Заголовок'!#REF!</definedName>
    <definedName name="sub_227" localSheetId="0">'Заголовок'!#REF!</definedName>
    <definedName name="sub_228" localSheetId="0">'Заголовок'!#REF!</definedName>
    <definedName name="sub_229" localSheetId="0">'Заголовок'!#REF!</definedName>
    <definedName name="sub_23" localSheetId="0">'Заголовок'!#REF!</definedName>
    <definedName name="sub_231" localSheetId="0">'Заголовок'!#REF!</definedName>
    <definedName name="sub_2310" localSheetId="0">'Заголовок'!#REF!</definedName>
    <definedName name="sub_232" localSheetId="0">'Заголовок'!#REF!</definedName>
    <definedName name="sub_233" localSheetId="0">'Заголовок'!#REF!</definedName>
    <definedName name="sub_234" localSheetId="0">'Заголовок'!#REF!</definedName>
    <definedName name="sub_235" localSheetId="0">'Заголовок'!#REF!</definedName>
    <definedName name="sub_236" localSheetId="0">'Заголовок'!#REF!</definedName>
    <definedName name="sub_237" localSheetId="0">'Заголовок'!#REF!</definedName>
    <definedName name="sub_238" localSheetId="0">'Заголовок'!#REF!</definedName>
    <definedName name="sub_239" localSheetId="0">'Заголовок'!#REF!</definedName>
    <definedName name="sub_31" localSheetId="0">'Заголовок'!#REF!</definedName>
    <definedName name="sub_32" localSheetId="0">'Заголовок'!#REF!</definedName>
    <definedName name="sub_321" localSheetId="0">'Заголовок'!#REF!</definedName>
    <definedName name="sub_3210" localSheetId="0">'Заголовок'!#REF!</definedName>
    <definedName name="sub_3211" localSheetId="0">'Заголовок'!#REF!</definedName>
    <definedName name="sub_3212" localSheetId="0">'Заголовок'!#REF!</definedName>
    <definedName name="sub_3213" localSheetId="0">'Заголовок'!#REF!</definedName>
    <definedName name="sub_322" localSheetId="0">'Заголовок'!#REF!</definedName>
    <definedName name="sub_323" localSheetId="0">'Заголовок'!#REF!</definedName>
    <definedName name="sub_324" localSheetId="0">'Заголовок'!#REF!</definedName>
    <definedName name="sub_325" localSheetId="0">'Заголовок'!#REF!</definedName>
    <definedName name="sub_326" localSheetId="0">'Заголовок'!#REF!</definedName>
    <definedName name="sub_327" localSheetId="0">'Заголовок'!#REF!</definedName>
    <definedName name="sub_328" localSheetId="0">'Заголовок'!#REF!</definedName>
    <definedName name="sub_329" localSheetId="0">'Заголовок'!#REF!</definedName>
    <definedName name="sub_33" localSheetId="0">'Заголовок'!#REF!</definedName>
    <definedName name="sub_331" localSheetId="0">'Заголовок'!#REF!</definedName>
    <definedName name="sub_3310" localSheetId="0">'Заголовок'!#REF!</definedName>
    <definedName name="sub_3311" localSheetId="0">'Заголовок'!#REF!</definedName>
    <definedName name="sub_3312" localSheetId="0">'Заголовок'!#REF!</definedName>
    <definedName name="sub_3313" localSheetId="0">'Заголовок'!#REF!</definedName>
    <definedName name="sub_332" localSheetId="0">'Заголовок'!#REF!</definedName>
    <definedName name="sub_333" localSheetId="0">'Заголовок'!#REF!</definedName>
    <definedName name="sub_334" localSheetId="0">'Заголовок'!#REF!</definedName>
    <definedName name="sub_335" localSheetId="0">'Заголовок'!#REF!</definedName>
    <definedName name="sub_336" localSheetId="0">'Заголовок'!#REF!</definedName>
    <definedName name="sub_337" localSheetId="0">'Заголовок'!#REF!</definedName>
    <definedName name="sub_338" localSheetId="0">'Заголовок'!#REF!</definedName>
    <definedName name="sub_339" localSheetId="0">'Заголовок'!#REF!</definedName>
    <definedName name="_xlnm.Print_Titles" localSheetId="1">'2018.'!$3:$5</definedName>
    <definedName name="_xlnm.Print_Area" localSheetId="1">'2018.'!$A$1:$K$97</definedName>
  </definedNames>
  <calcPr fullCalcOnLoad="1"/>
</workbook>
</file>

<file path=xl/comments2.xml><?xml version="1.0" encoding="utf-8"?>
<comments xmlns="http://schemas.openxmlformats.org/spreadsheetml/2006/main">
  <authors>
    <author>Direktor</author>
  </authors>
  <commentList>
    <comment ref="L84" authorId="0">
      <text>
        <r>
          <rPr>
            <b/>
            <sz val="12"/>
            <rFont val="Tahoma"/>
            <family val="2"/>
          </rPr>
          <t>справочно Доходы минус расходы</t>
        </r>
        <r>
          <rPr>
            <sz val="12"/>
            <rFont val="Tahoma"/>
            <family val="2"/>
          </rPr>
          <t xml:space="preserve">
- значит расходов больше доходов,
+ значит не все доходы расписаны по выплатам</t>
        </r>
      </text>
    </comment>
  </commentList>
</comments>
</file>

<file path=xl/sharedStrings.xml><?xml version="1.0" encoding="utf-8"?>
<sst xmlns="http://schemas.openxmlformats.org/spreadsheetml/2006/main" count="465" uniqueCount="145">
  <si>
    <t>УТВЕРЖДАЮ</t>
  </si>
  <si>
    <t>План финансово-хозяйственной деятельности</t>
  </si>
  <si>
    <t>Дата</t>
  </si>
  <si>
    <t>Код по ОКПО</t>
  </si>
  <si>
    <t>ИНН</t>
  </si>
  <si>
    <t>КПП</t>
  </si>
  <si>
    <t>Наименование показателя</t>
  </si>
  <si>
    <t>в том числе:</t>
  </si>
  <si>
    <t>Всего</t>
  </si>
  <si>
    <t>прочие расходы</t>
  </si>
  <si>
    <t>коммунальные услуги</t>
  </si>
  <si>
    <t>(подпись)</t>
  </si>
  <si>
    <t>(расшифровка подписи)</t>
  </si>
  <si>
    <t>х</t>
  </si>
  <si>
    <t>заработная плата</t>
  </si>
  <si>
    <t>начисления на выплаты по оплате труда</t>
  </si>
  <si>
    <t>услуги связи</t>
  </si>
  <si>
    <t>работы, услуги по содержанию имущества</t>
  </si>
  <si>
    <t>прочие работы, услуги</t>
  </si>
  <si>
    <t>(подпись, расшифровка подписи)</t>
  </si>
  <si>
    <t>Приложение № 1 к Порядку</t>
  </si>
  <si>
    <t>Код    ГРБС</t>
  </si>
  <si>
    <t>раздел</t>
  </si>
  <si>
    <t>07</t>
  </si>
  <si>
    <t>02</t>
  </si>
  <si>
    <t>611</t>
  </si>
  <si>
    <t>907</t>
  </si>
  <si>
    <t>612</t>
  </si>
  <si>
    <t xml:space="preserve">           родительская плата ОДО</t>
  </si>
  <si>
    <t>000</t>
  </si>
  <si>
    <t>00</t>
  </si>
  <si>
    <t>М.П.</t>
  </si>
  <si>
    <t>Дата предыдущего утвержденного плана</t>
  </si>
  <si>
    <t>Пролетарского района Ростовской области</t>
  </si>
  <si>
    <r>
      <t>Наименование органа, осуществляющего функции и полномочия учредителя: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Районный отдел образования Администрации</t>
    </r>
  </si>
  <si>
    <t>Код по ОКЕИ (руб., коп.)</t>
  </si>
  <si>
    <t>Лицевой счет, предназначенный для учета операций со средствами учреждения, открыт в (ОФК/банк)</t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</si>
  <si>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(ОФК/банк)</t>
  </si>
  <si>
    <t>подраздел</t>
  </si>
  <si>
    <t>целевая статья</t>
  </si>
  <si>
    <t>вид расходов</t>
  </si>
  <si>
    <t>в том числе по источникам финансирования</t>
  </si>
  <si>
    <t>федеральный бюджет</t>
  </si>
  <si>
    <t>областной бюджет</t>
  </si>
  <si>
    <t>местный бюджет</t>
  </si>
  <si>
    <t>внебюджетные средства</t>
  </si>
  <si>
    <t>1. Остаток средств на начало планируемого года</t>
  </si>
  <si>
    <t>2. Поступления, всего:</t>
  </si>
  <si>
    <t xml:space="preserve">2.1. Субсидии на выполнение муниципального задания: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</si>
  <si>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0220000590</t>
  </si>
  <si>
    <t>0220072030</t>
  </si>
  <si>
    <t>2.2. Субсидии на иные цели</t>
  </si>
  <si>
    <t xml:space="preserve">оплата дистанционного контроля за работоспособностью (дистанционному радиомониторингу) автоматической пожарной сигнализации расположенной в здании с выводом радиосигнала на пульт наблюдения системы програмно-аппаратного комплекса "ОКО"  </t>
  </si>
  <si>
    <t>оплата услуг по техническому обслуживанию пожарной сигнализации и системы оповещения людей о пожаре, установленной в здании</t>
  </si>
  <si>
    <t>оплата по охране общественного порядка при помощи средств тревожной сигнализации, выдающим по каналам связи информацию на системы централизованного наблюдения пункта охраны о тревожных извещениях на объектах</t>
  </si>
  <si>
    <t>0000000000</t>
  </si>
  <si>
    <t>Обеспечение оздоровления детей по организации отдыха детей в каникулярное время</t>
  </si>
  <si>
    <t>2.3. Поступления от иной приносящей доход деятельности, всего:</t>
  </si>
  <si>
    <t>130</t>
  </si>
  <si>
    <t xml:space="preserve">         -  родительская плата </t>
  </si>
  <si>
    <t>180</t>
  </si>
  <si>
    <t>3. Выплаты, всего:</t>
  </si>
  <si>
    <t>3.1.    За счет субсидии на финансовое обеспечение выполнения муниципального задания на оказание муниципальных услуг:</t>
  </si>
  <si>
    <t>увеличение стоимости материальные запасов</t>
  </si>
  <si>
    <t>3.2.    За счет субсидии на иные цели</t>
  </si>
  <si>
    <t>3.3.   За счет иной, приносящей доход деятельности, всего:</t>
  </si>
  <si>
    <t>3.4. Всего выплат за счет всех источников финансирования</t>
  </si>
  <si>
    <t xml:space="preserve">Показатели по поступлениям и выплатам муниципального бюджетного учреждения </t>
  </si>
  <si>
    <t>Таблица 2</t>
  </si>
  <si>
    <t>дошкольное отделение</t>
  </si>
  <si>
    <t>092004530</t>
  </si>
  <si>
    <t>0840024120</t>
  </si>
  <si>
    <t xml:space="preserve">           родительская плата ООШ</t>
  </si>
  <si>
    <t xml:space="preserve">          - безвозмездный взнос по возмещению коммунальных расходов</t>
  </si>
  <si>
    <t>прочие работы, услуги                                   до</t>
  </si>
  <si>
    <t>заработная плата         до</t>
  </si>
  <si>
    <t>начисления на выплаты по оплате труда    до</t>
  </si>
  <si>
    <t>прочие работы, услуги        до</t>
  </si>
  <si>
    <t>увеличение стоимости материальные запасов    до</t>
  </si>
  <si>
    <t>0920024530</t>
  </si>
  <si>
    <t>Директор 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</si>
  <si>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</si>
  <si>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 xml:space="preserve">Индекс 347532,Россия, Ростовская область, Пролетарский район,х.Коврино ул.Ленина 55а </t>
  </si>
  <si>
    <t>Среднее общее образования</t>
  </si>
  <si>
    <t>заработная плата         сош</t>
  </si>
  <si>
    <t>начисления на выплаты по оплате труда     сош</t>
  </si>
  <si>
    <t>услуги связи     сош</t>
  </si>
  <si>
    <t>коммунальные услуги    сош</t>
  </si>
  <si>
    <t>работы, услуги по содержанию имущества   сош</t>
  </si>
  <si>
    <t>прочие работы, услуги    сош</t>
  </si>
  <si>
    <t>увеличение стоимости материальные запасов   сош</t>
  </si>
  <si>
    <t>прочие расходы   сош</t>
  </si>
  <si>
    <t>коммунальные услуги                                  сош</t>
  </si>
  <si>
    <t>прочие работы, услуги                                  сош</t>
  </si>
  <si>
    <t>Молоко</t>
  </si>
  <si>
    <t>0220024600</t>
  </si>
  <si>
    <t>увеличение стоимости основных средств</t>
  </si>
  <si>
    <t>244</t>
  </si>
  <si>
    <t>111</t>
  </si>
  <si>
    <t>119</t>
  </si>
  <si>
    <t>852</t>
  </si>
  <si>
    <t>прочие выплаты сош</t>
  </si>
  <si>
    <t>112</t>
  </si>
  <si>
    <t>прочие выплаты</t>
  </si>
  <si>
    <t>транспортыне услуги</t>
  </si>
  <si>
    <t>Затраты на оздоровление</t>
  </si>
  <si>
    <t>0420024760</t>
  </si>
  <si>
    <t>851</t>
  </si>
  <si>
    <t>853</t>
  </si>
  <si>
    <t>увеличение стоимости основных средств   сош</t>
  </si>
  <si>
    <t>увеличение стоимости основных средств   одо</t>
  </si>
  <si>
    <t>04200S3130</t>
  </si>
  <si>
    <t>О.А.Евсеева</t>
  </si>
  <si>
    <t>ТО видеонаблюдения</t>
  </si>
  <si>
    <t xml:space="preserve">на 2018-2020 год </t>
  </si>
  <si>
    <t>20586У28430</t>
  </si>
  <si>
    <t>21586У28430</t>
  </si>
  <si>
    <t>02200S3740</t>
  </si>
  <si>
    <t>Смета на металлопластиковые окна</t>
  </si>
  <si>
    <t>0220024540</t>
  </si>
  <si>
    <t>Экспертиза, достоверность</t>
  </si>
  <si>
    <t>Обработка огнезащитным составом днревянных конструкций чердачного помещения</t>
  </si>
  <si>
    <t>ремонт пожарной сигнализации</t>
  </si>
  <si>
    <t>приобрнтение огнетушителей</t>
  </si>
  <si>
    <t>приобретение пылесоса, цветного принтера</t>
  </si>
  <si>
    <t>0220071180</t>
  </si>
  <si>
    <t>Таблица 3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</si>
  <si>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</si>
  <si>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</si>
  <si>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</si>
  <si>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</si>
  <si>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</si>
  <si>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</si>
  <si>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</si>
  <si>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</si>
  <si>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</si>
  <si>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Выплаты по расходам на закупку товаров, работ, услуг всего:</t>
  </si>
  <si>
    <t xml:space="preserve">в том числе: </t>
  </si>
  <si>
    <t>на оплату контрактов заключенных до начала очередного финансового года</t>
  </si>
  <si>
    <t>на закупку товаров работ, услуг по году начала закупки</t>
  </si>
  <si>
    <t>Услуга по организации питания</t>
  </si>
  <si>
    <t>Услуга по организации питания ОДО</t>
  </si>
  <si>
    <t>прочие работы, услуги ОДО</t>
  </si>
  <si>
    <t>"25" октября  2018г.</t>
  </si>
  <si>
    <t>Показатели выплат по расходам
на закупку товаров, работ, услуг учреждения (подразделения)
на   2018г.
МБОУ Ковриновская СОШ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</si>
</sst>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[=0]&quot;−&quot;;General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2"/>
    </font>
    <font>
      <sz val="8"/>
      <name val="Times New Roman"/>
      <family val="2"/>
    </font>
    <font>
      <sz val="14"/>
      <name val="Times New Roman"/>
      <family val="1"/>
    </font>
    <font>
      <b/>
      <vertAlign val="subscript"/>
      <sz val="14"/>
      <color indexed="8"/>
      <name val="Times New Roman"/>
      <family val="1"/>
    </font>
    <font>
      <u val="single"/>
      <sz val="9"/>
      <color indexed="12"/>
      <name val="Times New Roman"/>
      <family val="2"/>
    </font>
    <font>
      <u val="single"/>
      <sz val="9"/>
      <color indexed="36"/>
      <name val="Times New Roman"/>
      <family val="2"/>
    </font>
    <font>
      <b/>
      <u val="single"/>
      <sz val="14"/>
      <color indexed="8"/>
      <name val="Times New Roman"/>
      <family val="1"/>
    </font>
    <font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3" fontId="2" fillId="3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6" xfId="0" applyNumberFormat="1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horizontal="center" vertical="center" wrapText="1"/>
    </xf>
    <xf numFmtId="43" fontId="4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3" fontId="2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2" borderId="17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left" vertical="center" wrapText="1" indent="2"/>
    </xf>
    <xf numFmtId="0" fontId="2" fillId="4" borderId="17" xfId="0" applyFont="1" applyFill="1" applyBorder="1" applyAlignment="1">
      <alignment horizontal="justify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4" borderId="11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justify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3" fontId="4" fillId="32" borderId="16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2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" fillId="33" borderId="17" xfId="0" applyFont="1" applyFill="1" applyBorder="1" applyAlignment="1">
      <alignment horizontal="justify" vertical="center" wrapText="1"/>
    </xf>
    <xf numFmtId="171" fontId="14" fillId="33" borderId="0" xfId="0" applyNumberFormat="1" applyFont="1" applyFill="1" applyAlignment="1">
      <alignment/>
    </xf>
    <xf numFmtId="43" fontId="2" fillId="33" borderId="16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34" borderId="17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3" fontId="2" fillId="34" borderId="11" xfId="0" applyNumberFormat="1" applyFont="1" applyFill="1" applyBorder="1" applyAlignment="1">
      <alignment horizontal="center" vertical="center" wrapText="1"/>
    </xf>
    <xf numFmtId="43" fontId="4" fillId="34" borderId="16" xfId="0" applyNumberFormat="1" applyFont="1" applyFill="1" applyBorder="1" applyAlignment="1">
      <alignment horizontal="center" vertical="center" wrapText="1"/>
    </xf>
    <xf numFmtId="43" fontId="4" fillId="34" borderId="16" xfId="0" applyNumberFormat="1" applyFont="1" applyFill="1" applyBorder="1" applyAlignment="1">
      <alignment horizontal="right" vertical="center" wrapText="1"/>
    </xf>
    <xf numFmtId="0" fontId="14" fillId="34" borderId="0" xfId="0" applyFont="1" applyFill="1" applyAlignment="1">
      <alignment/>
    </xf>
    <xf numFmtId="0" fontId="9" fillId="34" borderId="17" xfId="0" applyFont="1" applyFill="1" applyBorder="1" applyAlignment="1">
      <alignment horizontal="justify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3" fontId="9" fillId="34" borderId="16" xfId="0" applyNumberFormat="1" applyFont="1" applyFill="1" applyBorder="1" applyAlignment="1">
      <alignment horizontal="center" vertical="center" wrapText="1"/>
    </xf>
    <xf numFmtId="43" fontId="9" fillId="34" borderId="16" xfId="0" applyNumberFormat="1" applyFont="1" applyFill="1" applyBorder="1" applyAlignment="1">
      <alignment horizontal="right" vertical="center" wrapText="1"/>
    </xf>
    <xf numFmtId="0" fontId="18" fillId="34" borderId="0" xfId="0" applyFont="1" applyFill="1" applyAlignment="1">
      <alignment/>
    </xf>
    <xf numFmtId="171" fontId="14" fillId="32" borderId="0" xfId="0" applyNumberFormat="1" applyFont="1" applyFill="1" applyAlignment="1">
      <alignment/>
    </xf>
    <xf numFmtId="0" fontId="0" fillId="0" borderId="0" xfId="0" applyAlignment="1">
      <alignment horizontal="right"/>
    </xf>
    <xf numFmtId="2" fontId="35" fillId="0" borderId="13" xfId="0" applyNumberFormat="1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71" fontId="14" fillId="0" borderId="0" xfId="0" applyNumberFormat="1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18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1" fillId="0" borderId="26" xfId="42" applyBorder="1" applyAlignment="1" applyProtection="1">
      <alignment horizontal="center" vertical="center" wrapText="1"/>
      <protection/>
    </xf>
    <xf numFmtId="0" fontId="11" fillId="0" borderId="27" xfId="42" applyBorder="1" applyAlignment="1" applyProtection="1">
      <alignment horizontal="center" vertical="center" wrapText="1"/>
      <protection/>
    </xf>
    <xf numFmtId="0" fontId="11" fillId="0" borderId="14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A0BA9C5D8B1665050B112B826C8B39B2EB72FE3FF35074E4B92F40EDLE47N" TargetMode="External" /><Relationship Id="rId2" Type="http://schemas.openxmlformats.org/officeDocument/2006/relationships/hyperlink" Target="consultantplus://offline/ref=C8A0BA9C5D8B1665050B112B826C8B39B2EB72F938F55074E4B92F40EDLE47N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view="pageBreakPreview" zoomScale="60" zoomScaleNormal="75" zoomScalePageLayoutView="0" workbookViewId="0" topLeftCell="A10">
      <selection activeCell="A14" sqref="A14:C14"/>
    </sheetView>
  </sheetViews>
  <sheetFormatPr defaultColWidth="9.00390625" defaultRowHeight="15.75"/>
  <cols>
    <col min="1" max="1" width="69.00390625" style="2" customWidth="1"/>
    <col min="2" max="2" width="21.00390625" style="2" customWidth="1"/>
    <col min="3" max="3" width="10.625" style="2" customWidth="1"/>
    <col min="4" max="16384" width="9.00390625" style="2" customWidth="1"/>
  </cols>
  <sheetData>
    <row r="1" spans="2:3" ht="18.75">
      <c r="B1" s="94" t="s">
        <v>20</v>
      </c>
      <c r="C1" s="94"/>
    </row>
    <row r="2" spans="2:3" ht="18.75">
      <c r="B2" s="94"/>
      <c r="C2" s="94"/>
    </row>
    <row r="4" spans="1:3" ht="18.75">
      <c r="A4" s="10"/>
      <c r="C4" s="3" t="s">
        <v>0</v>
      </c>
    </row>
    <row r="5" spans="1:3" ht="18.75">
      <c r="A5" s="10"/>
      <c r="C5" s="3"/>
    </row>
    <row r="6" spans="1:3" ht="18.75">
      <c r="A6" s="13"/>
      <c r="B6" s="98"/>
      <c r="C6" s="98"/>
    </row>
    <row r="7" spans="1:3" ht="18.75">
      <c r="A7" s="10"/>
      <c r="B7" s="95" t="s">
        <v>80</v>
      </c>
      <c r="C7" s="95"/>
    </row>
    <row r="8" spans="1:3" ht="18.75">
      <c r="A8" s="10"/>
      <c r="B8" s="95"/>
      <c r="C8" s="95"/>
    </row>
    <row r="9" spans="1:3" ht="18.75">
      <c r="A9" s="10"/>
      <c r="B9" s="97" t="s">
        <v>112</v>
      </c>
      <c r="C9" s="97"/>
    </row>
    <row r="10" spans="1:3" ht="20.25">
      <c r="A10" s="4" t="s">
        <v>31</v>
      </c>
      <c r="C10" s="4" t="s">
        <v>19</v>
      </c>
    </row>
    <row r="11" spans="1:3" ht="18.75">
      <c r="A11" s="10"/>
      <c r="C11" s="3"/>
    </row>
    <row r="12" spans="1:3" ht="18.75">
      <c r="A12" s="10"/>
      <c r="B12" s="99" t="s">
        <v>143</v>
      </c>
      <c r="C12" s="99"/>
    </row>
    <row r="13" ht="18.75">
      <c r="A13" s="5"/>
    </row>
    <row r="14" spans="1:3" ht="48" customHeight="1">
      <c r="A14" s="91" t="s">
        <v>1</v>
      </c>
      <c r="B14" s="91"/>
      <c r="C14" s="91"/>
    </row>
    <row r="15" spans="1:3" ht="20.25">
      <c r="A15" s="92" t="s">
        <v>114</v>
      </c>
      <c r="B15" s="92"/>
      <c r="C15" s="92"/>
    </row>
    <row r="16" spans="1:3" ht="75.75" customHeight="1">
      <c r="A16" s="100" t="s">
        <v>81</v>
      </c>
      <c r="B16" s="100"/>
      <c r="C16" s="100"/>
    </row>
    <row r="17" spans="1:3" ht="48.75" customHeight="1">
      <c r="A17" s="93" t="s">
        <v>82</v>
      </c>
      <c r="B17" s="93"/>
      <c r="C17" s="93"/>
    </row>
    <row r="18" ht="36.75" customHeight="1" thickBot="1">
      <c r="A18" s="1"/>
    </row>
    <row r="19" spans="1:2" ht="19.5" thickBot="1">
      <c r="A19" s="6"/>
      <c r="B19" s="19"/>
    </row>
    <row r="20" spans="1:2" ht="19.5" thickBot="1">
      <c r="A20" s="6" t="s">
        <v>2</v>
      </c>
      <c r="B20" s="14">
        <v>43398</v>
      </c>
    </row>
    <row r="21" spans="1:2" ht="19.5" thickBot="1">
      <c r="A21" s="6" t="s">
        <v>32</v>
      </c>
      <c r="B21" s="14">
        <v>43370</v>
      </c>
    </row>
    <row r="22" spans="1:2" ht="19.5" thickBot="1">
      <c r="A22" s="6" t="s">
        <v>3</v>
      </c>
      <c r="B22" s="20">
        <v>53521535</v>
      </c>
    </row>
    <row r="23" spans="1:2" ht="38.25" thickBot="1">
      <c r="A23" s="17" t="s">
        <v>34</v>
      </c>
      <c r="B23" s="20"/>
    </row>
    <row r="24" spans="1:2" ht="19.5" thickBot="1">
      <c r="A24" s="18" t="s">
        <v>33</v>
      </c>
      <c r="B24" s="20">
        <v>907</v>
      </c>
    </row>
    <row r="25" spans="1:2" ht="19.5" thickBot="1">
      <c r="A25" s="6" t="s">
        <v>4</v>
      </c>
      <c r="B25" s="20">
        <v>6128007716</v>
      </c>
    </row>
    <row r="26" spans="1:2" ht="19.5" thickBot="1">
      <c r="A26" s="6" t="s">
        <v>5</v>
      </c>
      <c r="B26" s="20">
        <v>612801001</v>
      </c>
    </row>
    <row r="27" spans="1:2" ht="19.5" thickBot="1">
      <c r="A27" s="6" t="s">
        <v>35</v>
      </c>
      <c r="B27" s="20">
        <v>383</v>
      </c>
    </row>
    <row r="28" spans="1:2" ht="60" customHeight="1" thickBot="1">
      <c r="A28" s="22" t="s">
        <v>36</v>
      </c>
      <c r="B28" s="21" t="s">
        <v>115</v>
      </c>
    </row>
    <row r="29" spans="1:2" ht="53.25" customHeight="1" thickBot="1">
      <c r="A29" s="24" t="s">
        <v>37</v>
      </c>
      <c r="B29" s="21" t="s">
        <v>116</v>
      </c>
    </row>
    <row r="30" ht="18.75">
      <c r="A30" s="7"/>
    </row>
    <row r="31" ht="18.75">
      <c r="A31" s="7"/>
    </row>
    <row r="32" spans="1:3" ht="18.75">
      <c r="A32" s="96"/>
      <c r="B32" s="96"/>
      <c r="C32" s="96"/>
    </row>
    <row r="33" spans="1:3" ht="18.75">
      <c r="A33" s="90"/>
      <c r="B33" s="90"/>
      <c r="C33" s="90"/>
    </row>
    <row r="34" spans="1:3" ht="18.75">
      <c r="A34" s="90"/>
      <c r="B34" s="90"/>
      <c r="C34" s="90"/>
    </row>
    <row r="35" spans="1:3" ht="18.75">
      <c r="A35" s="90"/>
      <c r="B35" s="90"/>
      <c r="C35" s="90"/>
    </row>
  </sheetData>
  <sheetProtection/>
  <mergeCells count="13">
    <mergeCell ref="B1:C2"/>
    <mergeCell ref="B7:C8"/>
    <mergeCell ref="A32:C32"/>
    <mergeCell ref="B9:C9"/>
    <mergeCell ref="B6:C6"/>
    <mergeCell ref="B12:C12"/>
    <mergeCell ref="A16:C16"/>
    <mergeCell ref="A35:C35"/>
    <mergeCell ref="A14:C14"/>
    <mergeCell ref="A15:C15"/>
    <mergeCell ref="A17:C17"/>
    <mergeCell ref="A33:C33"/>
    <mergeCell ref="A34:C34"/>
  </mergeCells>
  <printOptions/>
  <pageMargins left="0.7086614173228347" right="0.5905511811023623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4" sqref="A4"/>
      <selection pane="topRight" activeCell="J55" sqref="J55"/>
    </sheetView>
  </sheetViews>
  <sheetFormatPr defaultColWidth="9.00390625" defaultRowHeight="15.75"/>
  <cols>
    <col min="1" max="1" width="67.25390625" style="8" customWidth="1"/>
    <col min="2" max="2" width="5.50390625" style="8" customWidth="1"/>
    <col min="3" max="3" width="5.125" style="8" customWidth="1"/>
    <col min="4" max="4" width="4.625" style="8" customWidth="1"/>
    <col min="5" max="5" width="13.75390625" style="8" customWidth="1"/>
    <col min="6" max="6" width="6.75390625" style="8" customWidth="1"/>
    <col min="7" max="7" width="18.25390625" style="8" customWidth="1"/>
    <col min="8" max="8" width="17.125" style="8" customWidth="1"/>
    <col min="9" max="9" width="17.625" style="8" customWidth="1"/>
    <col min="10" max="10" width="16.25390625" style="8" customWidth="1"/>
    <col min="11" max="11" width="17.375" style="8" customWidth="1"/>
    <col min="12" max="12" width="19.25390625" style="8" customWidth="1"/>
    <col min="13" max="16384" width="9.00390625" style="8" customWidth="1"/>
  </cols>
  <sheetData>
    <row r="1" spans="1:11" ht="18.75">
      <c r="A1" s="7"/>
      <c r="K1" s="23" t="s">
        <v>68</v>
      </c>
    </row>
    <row r="2" spans="1:11" ht="21" customHeight="1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5"/>
    </row>
    <row r="3" spans="1:11" s="25" customFormat="1" ht="27.75" customHeight="1">
      <c r="A3" s="101" t="s">
        <v>6</v>
      </c>
      <c r="B3" s="101" t="s">
        <v>21</v>
      </c>
      <c r="C3" s="101" t="s">
        <v>22</v>
      </c>
      <c r="D3" s="101" t="s">
        <v>38</v>
      </c>
      <c r="E3" s="101" t="s">
        <v>39</v>
      </c>
      <c r="F3" s="101" t="s">
        <v>40</v>
      </c>
      <c r="G3" s="101" t="s">
        <v>8</v>
      </c>
      <c r="H3" s="101" t="s">
        <v>41</v>
      </c>
      <c r="I3" s="101"/>
      <c r="J3" s="101"/>
      <c r="K3" s="101"/>
    </row>
    <row r="4" spans="1:11" s="25" customFormat="1" ht="18">
      <c r="A4" s="101"/>
      <c r="B4" s="101"/>
      <c r="C4" s="101"/>
      <c r="D4" s="101"/>
      <c r="E4" s="101"/>
      <c r="F4" s="101"/>
      <c r="G4" s="101"/>
      <c r="H4" s="101" t="s">
        <v>42</v>
      </c>
      <c r="I4" s="101" t="s">
        <v>43</v>
      </c>
      <c r="J4" s="101" t="s">
        <v>44</v>
      </c>
      <c r="K4" s="101" t="s">
        <v>45</v>
      </c>
    </row>
    <row r="5" spans="1:11" s="25" customFormat="1" ht="35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25" customFormat="1" ht="14.2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1" s="25" customFormat="1" ht="37.5">
      <c r="A7" s="42" t="s">
        <v>46</v>
      </c>
      <c r="B7" s="11"/>
      <c r="C7" s="29"/>
      <c r="D7" s="29"/>
      <c r="E7" s="29"/>
      <c r="F7" s="29"/>
      <c r="G7" s="49">
        <f>SUM(H7:J7)</f>
        <v>0</v>
      </c>
      <c r="H7" s="30"/>
      <c r="I7" s="31"/>
      <c r="J7" s="31"/>
      <c r="K7" s="31">
        <v>6013.76</v>
      </c>
    </row>
    <row r="8" spans="1:11" s="25" customFormat="1" ht="18.75">
      <c r="A8" s="43" t="s">
        <v>47</v>
      </c>
      <c r="B8" s="32"/>
      <c r="C8" s="32"/>
      <c r="D8" s="32"/>
      <c r="E8" s="32"/>
      <c r="F8" s="32"/>
      <c r="G8" s="33">
        <f>G9+G10+G15</f>
        <v>15193637.22</v>
      </c>
      <c r="H8" s="33">
        <f>SUM(H10+H15+H32)</f>
        <v>0</v>
      </c>
      <c r="I8" s="33">
        <f>SUM(I10+I15+I32)</f>
        <v>10515554.79</v>
      </c>
      <c r="J8" s="33">
        <f>SUM(J10+J15+J32)</f>
        <v>3978082.43</v>
      </c>
      <c r="K8" s="33">
        <f>K9</f>
        <v>700000</v>
      </c>
    </row>
    <row r="9" spans="1:11" s="25" customFormat="1" ht="18.75">
      <c r="A9" s="44"/>
      <c r="B9" s="34"/>
      <c r="C9" s="34"/>
      <c r="D9" s="34"/>
      <c r="E9" s="34"/>
      <c r="F9" s="34"/>
      <c r="G9" s="50">
        <f>K9</f>
        <v>700000</v>
      </c>
      <c r="H9" s="35"/>
      <c r="I9" s="36"/>
      <c r="J9" s="36"/>
      <c r="K9" s="36">
        <v>700000</v>
      </c>
    </row>
    <row r="10" spans="1:11" s="61" customFormat="1" ht="37.5">
      <c r="A10" s="56" t="s">
        <v>48</v>
      </c>
      <c r="B10" s="57">
        <v>907</v>
      </c>
      <c r="C10" s="58" t="s">
        <v>23</v>
      </c>
      <c r="D10" s="58" t="s">
        <v>30</v>
      </c>
      <c r="E10" s="58" t="s">
        <v>55</v>
      </c>
      <c r="F10" s="58" t="s">
        <v>25</v>
      </c>
      <c r="G10" s="59">
        <f aca="true" t="shared" si="0" ref="G10:G16">SUM(H10:K10)</f>
        <v>13760600</v>
      </c>
      <c r="H10" s="60">
        <f>SUM(H11:H14)</f>
        <v>0</v>
      </c>
      <c r="I10" s="60">
        <f>SUM(I11:I14)</f>
        <v>10305400</v>
      </c>
      <c r="J10" s="60">
        <f>SUM(J11:J14)</f>
        <v>3455200</v>
      </c>
      <c r="K10" s="60">
        <f>SUM(K11:K14)</f>
        <v>0</v>
      </c>
    </row>
    <row r="11" spans="1:11" s="25" customFormat="1" ht="21.75" customHeight="1">
      <c r="A11" s="42" t="s">
        <v>83</v>
      </c>
      <c r="B11" s="11">
        <v>907</v>
      </c>
      <c r="C11" s="29" t="s">
        <v>23</v>
      </c>
      <c r="D11" s="29" t="s">
        <v>24</v>
      </c>
      <c r="E11" s="29" t="s">
        <v>49</v>
      </c>
      <c r="F11" s="29" t="s">
        <v>25</v>
      </c>
      <c r="G11" s="49">
        <f t="shared" si="0"/>
        <v>12811700</v>
      </c>
      <c r="H11" s="37"/>
      <c r="I11" s="31">
        <f>9296800+160200</f>
        <v>9457000</v>
      </c>
      <c r="J11" s="31">
        <f>3514200-130000-3000+94900-43900-55200-22300</f>
        <v>3354700</v>
      </c>
      <c r="K11" s="31"/>
    </row>
    <row r="12" spans="1:11" s="25" customFormat="1" ht="22.5" customHeight="1">
      <c r="A12" s="42" t="s">
        <v>69</v>
      </c>
      <c r="B12" s="11">
        <v>907</v>
      </c>
      <c r="C12" s="29" t="s">
        <v>23</v>
      </c>
      <c r="D12" s="29" t="s">
        <v>24</v>
      </c>
      <c r="E12" s="29" t="s">
        <v>49</v>
      </c>
      <c r="F12" s="29" t="s">
        <v>25</v>
      </c>
      <c r="G12" s="49">
        <f>SUM(H12:K12)</f>
        <v>948900</v>
      </c>
      <c r="H12" s="37"/>
      <c r="I12" s="31">
        <f>1163100+26300-175000-166000</f>
        <v>848400</v>
      </c>
      <c r="J12" s="31">
        <f>284800+3000+3900-18600-76800-95800</f>
        <v>100500</v>
      </c>
      <c r="K12" s="31"/>
    </row>
    <row r="13" spans="1:11" s="25" customFormat="1" ht="26.25" customHeight="1">
      <c r="A13" s="42" t="s">
        <v>83</v>
      </c>
      <c r="B13" s="11">
        <v>907</v>
      </c>
      <c r="C13" s="29" t="s">
        <v>23</v>
      </c>
      <c r="D13" s="29" t="s">
        <v>24</v>
      </c>
      <c r="E13" s="29" t="s">
        <v>50</v>
      </c>
      <c r="F13" s="29" t="s">
        <v>25</v>
      </c>
      <c r="G13" s="49">
        <f>SUM(H13:K13)</f>
        <v>0</v>
      </c>
      <c r="H13" s="37"/>
      <c r="I13" s="31"/>
      <c r="J13" s="31"/>
      <c r="K13" s="31"/>
    </row>
    <row r="14" spans="1:11" s="25" customFormat="1" ht="19.5" customHeight="1">
      <c r="A14" s="42" t="s">
        <v>69</v>
      </c>
      <c r="B14" s="11">
        <v>907</v>
      </c>
      <c r="C14" s="29" t="s">
        <v>23</v>
      </c>
      <c r="D14" s="29" t="s">
        <v>24</v>
      </c>
      <c r="E14" s="29" t="s">
        <v>50</v>
      </c>
      <c r="F14" s="29" t="s">
        <v>25</v>
      </c>
      <c r="G14" s="49">
        <f t="shared" si="0"/>
        <v>0</v>
      </c>
      <c r="H14" s="37"/>
      <c r="I14" s="31"/>
      <c r="J14" s="31"/>
      <c r="K14" s="49"/>
    </row>
    <row r="15" spans="1:11" s="61" customFormat="1" ht="18.75">
      <c r="A15" s="62" t="s">
        <v>51</v>
      </c>
      <c r="B15" s="58"/>
      <c r="C15" s="58"/>
      <c r="D15" s="58"/>
      <c r="E15" s="58"/>
      <c r="F15" s="58"/>
      <c r="G15" s="59">
        <f>G16+G17+G18+G19+G20+G21+G22+G23+G24+G25+G26+G27+G28+G29+G30+G31</f>
        <v>733037.22</v>
      </c>
      <c r="H15" s="59">
        <f>H16+H17+H18+H19+H20+H21+H22+H23+H24+H25+H26+H27+H28+H29+H30+H31</f>
        <v>0</v>
      </c>
      <c r="I15" s="59">
        <f>I16+I17+I18+I19+I20+I21+I22+I23+I24+I25+I26+I27+I28+I29+I30+I31</f>
        <v>210154.78999999998</v>
      </c>
      <c r="J15" s="60">
        <f>J16+J17+J18+J19+J20+J21+J22+J23+J24+J25+J26+J27+J28+J29+J30+J31</f>
        <v>522882.43</v>
      </c>
      <c r="K15" s="60">
        <f>SUM(K16:K24)</f>
        <v>0</v>
      </c>
    </row>
    <row r="16" spans="1:11" s="25" customFormat="1" ht="37.5" customHeight="1">
      <c r="A16" s="46" t="s">
        <v>56</v>
      </c>
      <c r="B16" s="29" t="s">
        <v>26</v>
      </c>
      <c r="C16" s="29" t="s">
        <v>23</v>
      </c>
      <c r="D16" s="29" t="s">
        <v>23</v>
      </c>
      <c r="E16" s="29" t="s">
        <v>111</v>
      </c>
      <c r="F16" s="29" t="s">
        <v>27</v>
      </c>
      <c r="G16" s="49">
        <f t="shared" si="0"/>
        <v>180154.78999999998</v>
      </c>
      <c r="H16" s="37"/>
      <c r="I16" s="31">
        <f>121347.79+58807</f>
        <v>180154.78999999998</v>
      </c>
      <c r="J16" s="31"/>
      <c r="K16" s="31"/>
    </row>
    <row r="17" spans="1:11" s="25" customFormat="1" ht="36.75" customHeight="1">
      <c r="A17" s="45" t="s">
        <v>56</v>
      </c>
      <c r="B17" s="29" t="s">
        <v>26</v>
      </c>
      <c r="C17" s="29" t="s">
        <v>23</v>
      </c>
      <c r="D17" s="29" t="s">
        <v>23</v>
      </c>
      <c r="E17" s="29" t="s">
        <v>111</v>
      </c>
      <c r="F17" s="29" t="s">
        <v>27</v>
      </c>
      <c r="G17" s="49">
        <f aca="true" t="shared" si="1" ref="G17:G32">SUM(H17:K17)</f>
        <v>9282.43</v>
      </c>
      <c r="H17" s="37"/>
      <c r="I17" s="37"/>
      <c r="J17" s="37">
        <f>6252.41+3030.02</f>
        <v>9282.43</v>
      </c>
      <c r="K17" s="37"/>
    </row>
    <row r="18" spans="1:11" s="25" customFormat="1" ht="36.75" customHeight="1">
      <c r="A18" s="45" t="s">
        <v>105</v>
      </c>
      <c r="B18" s="29" t="s">
        <v>26</v>
      </c>
      <c r="C18" s="29" t="s">
        <v>23</v>
      </c>
      <c r="D18" s="29" t="s">
        <v>23</v>
      </c>
      <c r="E18" s="29" t="s">
        <v>106</v>
      </c>
      <c r="F18" s="29" t="s">
        <v>27</v>
      </c>
      <c r="G18" s="49">
        <f t="shared" si="1"/>
        <v>28000</v>
      </c>
      <c r="H18" s="37"/>
      <c r="I18" s="37"/>
      <c r="J18" s="37">
        <v>28000</v>
      </c>
      <c r="K18" s="37"/>
    </row>
    <row r="19" spans="1:11" s="25" customFormat="1" ht="101.25" customHeight="1">
      <c r="A19" s="45" t="s">
        <v>52</v>
      </c>
      <c r="B19" s="29" t="s">
        <v>26</v>
      </c>
      <c r="C19" s="29" t="s">
        <v>23</v>
      </c>
      <c r="D19" s="29" t="s">
        <v>24</v>
      </c>
      <c r="E19" s="29" t="s">
        <v>70</v>
      </c>
      <c r="F19" s="29" t="s">
        <v>27</v>
      </c>
      <c r="G19" s="49">
        <f t="shared" si="1"/>
        <v>42000</v>
      </c>
      <c r="H19" s="37"/>
      <c r="I19" s="31"/>
      <c r="J19" s="31">
        <v>42000</v>
      </c>
      <c r="K19" s="31"/>
    </row>
    <row r="20" spans="1:11" s="25" customFormat="1" ht="54.75" customHeight="1">
      <c r="A20" s="45" t="s">
        <v>53</v>
      </c>
      <c r="B20" s="29" t="s">
        <v>26</v>
      </c>
      <c r="C20" s="29" t="s">
        <v>23</v>
      </c>
      <c r="D20" s="29" t="s">
        <v>24</v>
      </c>
      <c r="E20" s="29" t="s">
        <v>70</v>
      </c>
      <c r="F20" s="29" t="s">
        <v>27</v>
      </c>
      <c r="G20" s="49">
        <f t="shared" si="1"/>
        <v>14400</v>
      </c>
      <c r="H20" s="37"/>
      <c r="I20" s="31"/>
      <c r="J20" s="31">
        <v>14400</v>
      </c>
      <c r="K20" s="31"/>
    </row>
    <row r="21" spans="1:11" s="25" customFormat="1" ht="54.75" customHeight="1">
      <c r="A21" s="45" t="s">
        <v>113</v>
      </c>
      <c r="B21" s="29" t="s">
        <v>26</v>
      </c>
      <c r="C21" s="29" t="s">
        <v>23</v>
      </c>
      <c r="D21" s="29" t="s">
        <v>24</v>
      </c>
      <c r="E21" s="29" t="s">
        <v>71</v>
      </c>
      <c r="F21" s="29" t="s">
        <v>27</v>
      </c>
      <c r="G21" s="49">
        <f t="shared" si="1"/>
        <v>6400</v>
      </c>
      <c r="H21" s="37"/>
      <c r="I21" s="31"/>
      <c r="J21" s="31">
        <v>6400</v>
      </c>
      <c r="K21" s="31"/>
    </row>
    <row r="22" spans="1:11" s="25" customFormat="1" ht="54.75" customHeight="1">
      <c r="A22" s="45" t="s">
        <v>122</v>
      </c>
      <c r="B22" s="29" t="s">
        <v>26</v>
      </c>
      <c r="C22" s="29" t="s">
        <v>23</v>
      </c>
      <c r="D22" s="29" t="s">
        <v>24</v>
      </c>
      <c r="E22" s="29" t="s">
        <v>79</v>
      </c>
      <c r="F22" s="29" t="s">
        <v>27</v>
      </c>
      <c r="G22" s="49">
        <f t="shared" si="1"/>
        <v>11500</v>
      </c>
      <c r="H22" s="37"/>
      <c r="I22" s="31"/>
      <c r="J22" s="31">
        <v>11500</v>
      </c>
      <c r="K22" s="31"/>
    </row>
    <row r="23" spans="1:11" s="25" customFormat="1" ht="54.75" customHeight="1">
      <c r="A23" s="45" t="s">
        <v>94</v>
      </c>
      <c r="B23" s="29" t="s">
        <v>26</v>
      </c>
      <c r="C23" s="29" t="s">
        <v>23</v>
      </c>
      <c r="D23" s="29" t="s">
        <v>24</v>
      </c>
      <c r="E23" s="29" t="s">
        <v>95</v>
      </c>
      <c r="F23" s="29" t="s">
        <v>27</v>
      </c>
      <c r="G23" s="49">
        <f t="shared" si="1"/>
        <v>3700</v>
      </c>
      <c r="H23" s="37"/>
      <c r="I23" s="31"/>
      <c r="J23" s="31">
        <f>26200-22500</f>
        <v>3700</v>
      </c>
      <c r="K23" s="31"/>
    </row>
    <row r="24" spans="1:11" s="25" customFormat="1" ht="81.75" customHeight="1">
      <c r="A24" s="45" t="s">
        <v>54</v>
      </c>
      <c r="B24" s="29" t="s">
        <v>26</v>
      </c>
      <c r="C24" s="29" t="s">
        <v>23</v>
      </c>
      <c r="D24" s="29" t="s">
        <v>24</v>
      </c>
      <c r="E24" s="29" t="s">
        <v>71</v>
      </c>
      <c r="F24" s="29" t="s">
        <v>27</v>
      </c>
      <c r="G24" s="49">
        <f t="shared" si="1"/>
        <v>12000</v>
      </c>
      <c r="H24" s="37"/>
      <c r="I24" s="31"/>
      <c r="J24" s="31">
        <v>12000</v>
      </c>
      <c r="K24" s="31"/>
    </row>
    <row r="25" spans="1:11" s="25" customFormat="1" ht="36.75" customHeight="1">
      <c r="A25" s="45" t="s">
        <v>118</v>
      </c>
      <c r="B25" s="29" t="s">
        <v>26</v>
      </c>
      <c r="C25" s="29" t="s">
        <v>23</v>
      </c>
      <c r="D25" s="29" t="s">
        <v>24</v>
      </c>
      <c r="E25" s="29" t="s">
        <v>119</v>
      </c>
      <c r="F25" s="29" t="s">
        <v>27</v>
      </c>
      <c r="G25" s="49">
        <f t="shared" si="1"/>
        <v>67200</v>
      </c>
      <c r="H25" s="37"/>
      <c r="I25" s="37"/>
      <c r="J25" s="37">
        <v>67200</v>
      </c>
      <c r="K25" s="37"/>
    </row>
    <row r="26" spans="1:11" s="25" customFormat="1" ht="39" customHeight="1">
      <c r="A26" s="45" t="s">
        <v>120</v>
      </c>
      <c r="B26" s="29" t="s">
        <v>26</v>
      </c>
      <c r="C26" s="29" t="s">
        <v>23</v>
      </c>
      <c r="D26" s="29" t="s">
        <v>24</v>
      </c>
      <c r="E26" s="29" t="s">
        <v>119</v>
      </c>
      <c r="F26" s="29" t="s">
        <v>27</v>
      </c>
      <c r="G26" s="49">
        <f t="shared" si="1"/>
        <v>20000</v>
      </c>
      <c r="H26" s="37"/>
      <c r="I26" s="37"/>
      <c r="J26" s="37">
        <v>20000</v>
      </c>
      <c r="K26" s="37"/>
    </row>
    <row r="27" spans="1:11" s="25" customFormat="1" ht="39" customHeight="1">
      <c r="A27" s="45" t="s">
        <v>121</v>
      </c>
      <c r="B27" s="29" t="s">
        <v>26</v>
      </c>
      <c r="C27" s="29" t="s">
        <v>23</v>
      </c>
      <c r="D27" s="29" t="s">
        <v>24</v>
      </c>
      <c r="E27" s="29" t="s">
        <v>79</v>
      </c>
      <c r="F27" s="29" t="s">
        <v>27</v>
      </c>
      <c r="G27" s="49">
        <f t="shared" si="1"/>
        <v>52300</v>
      </c>
      <c r="H27" s="37"/>
      <c r="I27" s="37"/>
      <c r="J27" s="37">
        <f>1100+51200</f>
        <v>52300</v>
      </c>
      <c r="K27" s="37"/>
    </row>
    <row r="28" spans="1:11" s="25" customFormat="1" ht="39" customHeight="1">
      <c r="A28" s="45" t="s">
        <v>123</v>
      </c>
      <c r="B28" s="29" t="s">
        <v>26</v>
      </c>
      <c r="C28" s="29" t="s">
        <v>23</v>
      </c>
      <c r="D28" s="29" t="s">
        <v>24</v>
      </c>
      <c r="E28" s="29" t="s">
        <v>79</v>
      </c>
      <c r="F28" s="29" t="s">
        <v>27</v>
      </c>
      <c r="G28" s="49">
        <f t="shared" si="1"/>
        <v>4400</v>
      </c>
      <c r="H28" s="37"/>
      <c r="I28" s="37"/>
      <c r="J28" s="37">
        <v>4400</v>
      </c>
      <c r="K28" s="37"/>
    </row>
    <row r="29" spans="1:11" s="25" customFormat="1" ht="39" customHeight="1">
      <c r="A29" s="45" t="s">
        <v>124</v>
      </c>
      <c r="B29" s="29" t="s">
        <v>26</v>
      </c>
      <c r="C29" s="29" t="s">
        <v>23</v>
      </c>
      <c r="D29" s="29" t="s">
        <v>24</v>
      </c>
      <c r="E29" s="29" t="s">
        <v>125</v>
      </c>
      <c r="F29" s="29" t="s">
        <v>27</v>
      </c>
      <c r="G29" s="49">
        <f t="shared" si="1"/>
        <v>30000</v>
      </c>
      <c r="H29" s="37"/>
      <c r="I29" s="37">
        <v>30000</v>
      </c>
      <c r="J29" s="37"/>
      <c r="K29" s="37"/>
    </row>
    <row r="30" spans="1:11" s="25" customFormat="1" ht="39" customHeight="1">
      <c r="A30" s="45" t="s">
        <v>140</v>
      </c>
      <c r="B30" s="29" t="s">
        <v>26</v>
      </c>
      <c r="C30" s="29" t="s">
        <v>23</v>
      </c>
      <c r="D30" s="29" t="s">
        <v>24</v>
      </c>
      <c r="E30" s="29" t="s">
        <v>95</v>
      </c>
      <c r="F30" s="29" t="s">
        <v>27</v>
      </c>
      <c r="G30" s="49">
        <f t="shared" si="1"/>
        <v>98100</v>
      </c>
      <c r="H30" s="37"/>
      <c r="I30" s="37"/>
      <c r="J30" s="37">
        <f>55200+42900</f>
        <v>98100</v>
      </c>
      <c r="K30" s="37"/>
    </row>
    <row r="31" spans="1:11" s="25" customFormat="1" ht="39" customHeight="1">
      <c r="A31" s="45" t="s">
        <v>141</v>
      </c>
      <c r="B31" s="29" t="s">
        <v>26</v>
      </c>
      <c r="C31" s="29" t="s">
        <v>23</v>
      </c>
      <c r="D31" s="29" t="s">
        <v>24</v>
      </c>
      <c r="E31" s="29" t="s">
        <v>95</v>
      </c>
      <c r="F31" s="29" t="s">
        <v>27</v>
      </c>
      <c r="G31" s="49">
        <f t="shared" si="1"/>
        <v>153600</v>
      </c>
      <c r="H31" s="37"/>
      <c r="I31" s="37"/>
      <c r="J31" s="37">
        <f>76800+76800</f>
        <v>153600</v>
      </c>
      <c r="K31" s="37"/>
    </row>
    <row r="32" spans="1:11" s="61" customFormat="1" ht="37.5">
      <c r="A32" s="62" t="s">
        <v>57</v>
      </c>
      <c r="B32" s="58" t="s">
        <v>29</v>
      </c>
      <c r="C32" s="58" t="s">
        <v>30</v>
      </c>
      <c r="D32" s="58" t="s">
        <v>30</v>
      </c>
      <c r="E32" s="58" t="s">
        <v>55</v>
      </c>
      <c r="F32" s="58" t="s">
        <v>29</v>
      </c>
      <c r="G32" s="59">
        <f t="shared" si="1"/>
        <v>700000</v>
      </c>
      <c r="H32" s="60">
        <f>H34+H37</f>
        <v>0</v>
      </c>
      <c r="I32" s="60">
        <f>I34+I37</f>
        <v>0</v>
      </c>
      <c r="J32" s="60">
        <f>J34+J37</f>
        <v>0</v>
      </c>
      <c r="K32" s="60">
        <f>K34+K37</f>
        <v>700000</v>
      </c>
    </row>
    <row r="33" spans="1:11" s="25" customFormat="1" ht="18.75">
      <c r="A33" s="46" t="s">
        <v>7</v>
      </c>
      <c r="B33" s="11" t="s">
        <v>13</v>
      </c>
      <c r="C33" s="11"/>
      <c r="D33" s="11"/>
      <c r="E33" s="11"/>
      <c r="F33" s="11"/>
      <c r="G33" s="49">
        <f>SUM(H33:J33)</f>
        <v>0</v>
      </c>
      <c r="H33" s="37"/>
      <c r="I33" s="31"/>
      <c r="J33" s="31"/>
      <c r="K33" s="31"/>
    </row>
    <row r="34" spans="1:11" s="27" customFormat="1" ht="37.5">
      <c r="A34" s="42" t="s">
        <v>59</v>
      </c>
      <c r="B34" s="38" t="s">
        <v>29</v>
      </c>
      <c r="C34" s="38" t="s">
        <v>30</v>
      </c>
      <c r="D34" s="38" t="s">
        <v>30</v>
      </c>
      <c r="E34" s="38" t="s">
        <v>55</v>
      </c>
      <c r="F34" s="38" t="s">
        <v>58</v>
      </c>
      <c r="G34" s="49">
        <f aca="true" t="shared" si="2" ref="G34:G65">SUM(H34:K34)</f>
        <v>700000</v>
      </c>
      <c r="H34" s="30">
        <f>SUM(H35:H36)</f>
        <v>0</v>
      </c>
      <c r="I34" s="30">
        <f>SUM(I35:I36)</f>
        <v>0</v>
      </c>
      <c r="J34" s="30">
        <f>SUM(J35:J36)</f>
        <v>0</v>
      </c>
      <c r="K34" s="30">
        <f>SUM(K35:K36)</f>
        <v>700000</v>
      </c>
    </row>
    <row r="35" spans="1:11" s="25" customFormat="1" ht="37.5">
      <c r="A35" s="47" t="s">
        <v>28</v>
      </c>
      <c r="B35" s="29" t="s">
        <v>29</v>
      </c>
      <c r="C35" s="29" t="s">
        <v>30</v>
      </c>
      <c r="D35" s="29" t="s">
        <v>30</v>
      </c>
      <c r="E35" s="29" t="s">
        <v>55</v>
      </c>
      <c r="F35" s="29" t="s">
        <v>58</v>
      </c>
      <c r="G35" s="49">
        <f t="shared" si="2"/>
        <v>150000</v>
      </c>
      <c r="H35" s="37"/>
      <c r="I35" s="31"/>
      <c r="J35" s="31"/>
      <c r="K35" s="31">
        <f>150000</f>
        <v>150000</v>
      </c>
    </row>
    <row r="36" spans="1:11" s="25" customFormat="1" ht="37.5">
      <c r="A36" s="47" t="s">
        <v>72</v>
      </c>
      <c r="B36" s="29" t="s">
        <v>29</v>
      </c>
      <c r="C36" s="29" t="s">
        <v>30</v>
      </c>
      <c r="D36" s="29" t="s">
        <v>30</v>
      </c>
      <c r="E36" s="29" t="s">
        <v>55</v>
      </c>
      <c r="F36" s="29" t="s">
        <v>58</v>
      </c>
      <c r="G36" s="49">
        <f t="shared" si="2"/>
        <v>550000</v>
      </c>
      <c r="H36" s="37"/>
      <c r="I36" s="31"/>
      <c r="J36" s="31"/>
      <c r="K36" s="31">
        <f>550000</f>
        <v>550000</v>
      </c>
    </row>
    <row r="37" spans="1:11" s="27" customFormat="1" ht="37.5">
      <c r="A37" s="42" t="s">
        <v>73</v>
      </c>
      <c r="B37" s="38" t="s">
        <v>29</v>
      </c>
      <c r="C37" s="38" t="s">
        <v>30</v>
      </c>
      <c r="D37" s="38" t="s">
        <v>30</v>
      </c>
      <c r="E37" s="38" t="s">
        <v>55</v>
      </c>
      <c r="F37" s="38" t="s">
        <v>60</v>
      </c>
      <c r="G37" s="49">
        <f t="shared" si="2"/>
        <v>0</v>
      </c>
      <c r="H37" s="30"/>
      <c r="I37" s="49"/>
      <c r="J37" s="49"/>
      <c r="K37" s="49"/>
    </row>
    <row r="38" spans="1:11" s="25" customFormat="1" ht="18.75">
      <c r="A38" s="48" t="s">
        <v>61</v>
      </c>
      <c r="B38" s="39" t="s">
        <v>13</v>
      </c>
      <c r="C38" s="39"/>
      <c r="D38" s="40"/>
      <c r="E38" s="40"/>
      <c r="F38" s="40"/>
      <c r="G38" s="51">
        <f t="shared" si="2"/>
        <v>15199650.979999999</v>
      </c>
      <c r="H38" s="41">
        <f>H39+H66+H80</f>
        <v>0</v>
      </c>
      <c r="I38" s="41">
        <f>I39+I66+I80</f>
        <v>10515554.79</v>
      </c>
      <c r="J38" s="41">
        <f>J39+J66+J80</f>
        <v>3978082.43</v>
      </c>
      <c r="K38" s="41">
        <f>K39+K66+K80</f>
        <v>706013.76</v>
      </c>
    </row>
    <row r="39" spans="1:11" s="61" customFormat="1" ht="57.75" customHeight="1">
      <c r="A39" s="62" t="s">
        <v>62</v>
      </c>
      <c r="B39" s="57"/>
      <c r="C39" s="57"/>
      <c r="D39" s="57"/>
      <c r="E39" s="57"/>
      <c r="F39" s="57"/>
      <c r="G39" s="59">
        <f t="shared" si="2"/>
        <v>13760600</v>
      </c>
      <c r="H39" s="60">
        <f>SUM(H40:H65)</f>
        <v>0</v>
      </c>
      <c r="I39" s="64">
        <f>SUM(I40:I64)</f>
        <v>10305400</v>
      </c>
      <c r="J39" s="60">
        <f>SUM(J40:J65)</f>
        <v>3455200</v>
      </c>
      <c r="K39" s="60">
        <f>SUM(K40:K65)</f>
        <v>0</v>
      </c>
    </row>
    <row r="40" spans="1:11" s="72" customFormat="1" ht="21.75" customHeight="1">
      <c r="A40" s="66" t="s">
        <v>84</v>
      </c>
      <c r="B40" s="67">
        <v>907</v>
      </c>
      <c r="C40" s="68" t="s">
        <v>23</v>
      </c>
      <c r="D40" s="68" t="s">
        <v>24</v>
      </c>
      <c r="E40" s="68" t="s">
        <v>50</v>
      </c>
      <c r="F40" s="68" t="s">
        <v>98</v>
      </c>
      <c r="G40" s="69">
        <f t="shared" si="2"/>
        <v>6674900</v>
      </c>
      <c r="H40" s="70"/>
      <c r="I40" s="71">
        <f>6388200+286700</f>
        <v>6674900</v>
      </c>
      <c r="J40" s="70"/>
      <c r="K40" s="70"/>
    </row>
    <row r="41" spans="1:11" s="72" customFormat="1" ht="21.75" customHeight="1">
      <c r="A41" s="66" t="s">
        <v>75</v>
      </c>
      <c r="B41" s="67">
        <v>907</v>
      </c>
      <c r="C41" s="68" t="s">
        <v>23</v>
      </c>
      <c r="D41" s="68" t="s">
        <v>24</v>
      </c>
      <c r="E41" s="68" t="s">
        <v>50</v>
      </c>
      <c r="F41" s="68" t="s">
        <v>98</v>
      </c>
      <c r="G41" s="69">
        <f t="shared" si="2"/>
        <v>630200</v>
      </c>
      <c r="H41" s="70"/>
      <c r="I41" s="71">
        <f>610000+20200</f>
        <v>630200</v>
      </c>
      <c r="J41" s="70"/>
      <c r="K41" s="70"/>
    </row>
    <row r="42" spans="1:11" s="72" customFormat="1" ht="21.75" customHeight="1">
      <c r="A42" s="66" t="s">
        <v>84</v>
      </c>
      <c r="B42" s="67">
        <v>907</v>
      </c>
      <c r="C42" s="68" t="s">
        <v>23</v>
      </c>
      <c r="D42" s="68" t="s">
        <v>24</v>
      </c>
      <c r="E42" s="68" t="s">
        <v>50</v>
      </c>
      <c r="F42" s="68" t="s">
        <v>98</v>
      </c>
      <c r="G42" s="69">
        <f t="shared" si="2"/>
        <v>768700</v>
      </c>
      <c r="H42" s="70"/>
      <c r="I42" s="71"/>
      <c r="J42" s="70">
        <v>768700</v>
      </c>
      <c r="K42" s="70"/>
    </row>
    <row r="43" spans="1:11" s="72" customFormat="1" ht="21.75" customHeight="1">
      <c r="A43" s="66" t="s">
        <v>75</v>
      </c>
      <c r="B43" s="67">
        <v>907</v>
      </c>
      <c r="C43" s="68" t="s">
        <v>23</v>
      </c>
      <c r="D43" s="68" t="s">
        <v>24</v>
      </c>
      <c r="E43" s="68" t="s">
        <v>49</v>
      </c>
      <c r="F43" s="68" t="s">
        <v>98</v>
      </c>
      <c r="G43" s="69">
        <f t="shared" si="2"/>
        <v>33200</v>
      </c>
      <c r="H43" s="70"/>
      <c r="I43" s="71"/>
      <c r="J43" s="70">
        <f>30200+3000</f>
        <v>33200</v>
      </c>
      <c r="K43" s="70"/>
    </row>
    <row r="44" spans="1:11" s="72" customFormat="1" ht="21.75" customHeight="1">
      <c r="A44" s="66" t="s">
        <v>101</v>
      </c>
      <c r="B44" s="67">
        <v>907</v>
      </c>
      <c r="C44" s="68" t="s">
        <v>23</v>
      </c>
      <c r="D44" s="68" t="s">
        <v>24</v>
      </c>
      <c r="E44" s="68" t="s">
        <v>49</v>
      </c>
      <c r="F44" s="68" t="s">
        <v>102</v>
      </c>
      <c r="G44" s="69">
        <f t="shared" si="2"/>
        <v>65400</v>
      </c>
      <c r="H44" s="70"/>
      <c r="I44" s="71">
        <v>65400</v>
      </c>
      <c r="J44" s="70"/>
      <c r="K44" s="70"/>
    </row>
    <row r="45" spans="1:11" s="72" customFormat="1" ht="22.5" customHeight="1">
      <c r="A45" s="66" t="s">
        <v>85</v>
      </c>
      <c r="B45" s="68">
        <v>907</v>
      </c>
      <c r="C45" s="68" t="s">
        <v>23</v>
      </c>
      <c r="D45" s="68" t="s">
        <v>24</v>
      </c>
      <c r="E45" s="68" t="s">
        <v>50</v>
      </c>
      <c r="F45" s="68" t="s">
        <v>99</v>
      </c>
      <c r="G45" s="69">
        <f t="shared" si="2"/>
        <v>2015800</v>
      </c>
      <c r="H45" s="70"/>
      <c r="I45" s="71">
        <f>1929200+86600</f>
        <v>2015800</v>
      </c>
      <c r="J45" s="70"/>
      <c r="K45" s="70"/>
    </row>
    <row r="46" spans="1:11" s="72" customFormat="1" ht="22.5" customHeight="1">
      <c r="A46" s="66" t="s">
        <v>76</v>
      </c>
      <c r="B46" s="68">
        <v>907</v>
      </c>
      <c r="C46" s="68" t="s">
        <v>23</v>
      </c>
      <c r="D46" s="68" t="s">
        <v>24</v>
      </c>
      <c r="E46" s="68" t="s">
        <v>50</v>
      </c>
      <c r="F46" s="68" t="s">
        <v>99</v>
      </c>
      <c r="G46" s="69">
        <f t="shared" si="2"/>
        <v>190320</v>
      </c>
      <c r="H46" s="70"/>
      <c r="I46" s="71">
        <f>184220+6100</f>
        <v>190320</v>
      </c>
      <c r="J46" s="70"/>
      <c r="K46" s="70"/>
    </row>
    <row r="47" spans="1:11" s="72" customFormat="1" ht="22.5" customHeight="1">
      <c r="A47" s="66" t="s">
        <v>85</v>
      </c>
      <c r="B47" s="68" t="s">
        <v>26</v>
      </c>
      <c r="C47" s="68" t="s">
        <v>23</v>
      </c>
      <c r="D47" s="68" t="s">
        <v>24</v>
      </c>
      <c r="E47" s="68" t="s">
        <v>49</v>
      </c>
      <c r="F47" s="68" t="s">
        <v>99</v>
      </c>
      <c r="G47" s="69">
        <f t="shared" si="2"/>
        <v>232200</v>
      </c>
      <c r="H47" s="70"/>
      <c r="I47" s="71"/>
      <c r="J47" s="70">
        <v>232200</v>
      </c>
      <c r="K47" s="70"/>
    </row>
    <row r="48" spans="1:11" s="72" customFormat="1" ht="22.5" customHeight="1">
      <c r="A48" s="66" t="s">
        <v>76</v>
      </c>
      <c r="B48" s="68">
        <v>907</v>
      </c>
      <c r="C48" s="68" t="s">
        <v>23</v>
      </c>
      <c r="D48" s="68" t="s">
        <v>24</v>
      </c>
      <c r="E48" s="68" t="s">
        <v>49</v>
      </c>
      <c r="F48" s="68" t="s">
        <v>99</v>
      </c>
      <c r="G48" s="69">
        <f t="shared" si="2"/>
        <v>10000</v>
      </c>
      <c r="H48" s="70"/>
      <c r="I48" s="71"/>
      <c r="J48" s="70">
        <f>9100+900</f>
        <v>10000</v>
      </c>
      <c r="K48" s="70"/>
    </row>
    <row r="49" spans="1:11" s="72" customFormat="1" ht="22.5" customHeight="1">
      <c r="A49" s="73" t="s">
        <v>86</v>
      </c>
      <c r="B49" s="68" t="s">
        <v>26</v>
      </c>
      <c r="C49" s="68" t="s">
        <v>23</v>
      </c>
      <c r="D49" s="68" t="s">
        <v>24</v>
      </c>
      <c r="E49" s="68" t="s">
        <v>49</v>
      </c>
      <c r="F49" s="68" t="s">
        <v>97</v>
      </c>
      <c r="G49" s="69">
        <f t="shared" si="2"/>
        <v>56000</v>
      </c>
      <c r="H49" s="70"/>
      <c r="I49" s="71">
        <v>50000</v>
      </c>
      <c r="J49" s="70">
        <v>6000</v>
      </c>
      <c r="K49" s="70"/>
    </row>
    <row r="50" spans="1:11" s="77" customFormat="1" ht="24.75" customHeight="1">
      <c r="A50" s="73" t="s">
        <v>86</v>
      </c>
      <c r="B50" s="74">
        <v>907</v>
      </c>
      <c r="C50" s="74" t="s">
        <v>23</v>
      </c>
      <c r="D50" s="74" t="s">
        <v>24</v>
      </c>
      <c r="E50" s="68" t="s">
        <v>50</v>
      </c>
      <c r="F50" s="74" t="s">
        <v>97</v>
      </c>
      <c r="G50" s="69">
        <f t="shared" si="2"/>
        <v>0</v>
      </c>
      <c r="H50" s="75"/>
      <c r="I50" s="76"/>
      <c r="J50" s="75"/>
      <c r="K50" s="75"/>
    </row>
    <row r="51" spans="1:11" s="72" customFormat="1" ht="21" customHeight="1">
      <c r="A51" s="66" t="s">
        <v>87</v>
      </c>
      <c r="B51" s="68">
        <v>907</v>
      </c>
      <c r="C51" s="68" t="s">
        <v>23</v>
      </c>
      <c r="D51" s="68" t="s">
        <v>24</v>
      </c>
      <c r="E51" s="68" t="s">
        <v>49</v>
      </c>
      <c r="F51" s="68" t="s">
        <v>97</v>
      </c>
      <c r="G51" s="69">
        <f t="shared" si="2"/>
        <v>528400</v>
      </c>
      <c r="H51" s="70"/>
      <c r="I51" s="71"/>
      <c r="J51" s="70">
        <v>528400</v>
      </c>
      <c r="K51" s="70"/>
    </row>
    <row r="52" spans="1:11" s="72" customFormat="1" ht="21" customHeight="1">
      <c r="A52" s="66" t="s">
        <v>88</v>
      </c>
      <c r="B52" s="68">
        <v>907</v>
      </c>
      <c r="C52" s="68" t="s">
        <v>23</v>
      </c>
      <c r="D52" s="68" t="s">
        <v>24</v>
      </c>
      <c r="E52" s="68" t="s">
        <v>50</v>
      </c>
      <c r="F52" s="68" t="s">
        <v>97</v>
      </c>
      <c r="G52" s="69">
        <f t="shared" si="2"/>
        <v>266220</v>
      </c>
      <c r="H52" s="70"/>
      <c r="I52" s="71">
        <v>67400</v>
      </c>
      <c r="J52" s="70">
        <f>112420+100000-69000+55400</f>
        <v>198820</v>
      </c>
      <c r="K52" s="70"/>
    </row>
    <row r="53" spans="1:11" s="72" customFormat="1" ht="21" customHeight="1">
      <c r="A53" s="66" t="s">
        <v>88</v>
      </c>
      <c r="B53" s="68">
        <v>907</v>
      </c>
      <c r="C53" s="68" t="s">
        <v>23</v>
      </c>
      <c r="D53" s="68" t="s">
        <v>24</v>
      </c>
      <c r="E53" s="68" t="s">
        <v>49</v>
      </c>
      <c r="F53" s="68" t="s">
        <v>97</v>
      </c>
      <c r="G53" s="69">
        <f t="shared" si="2"/>
        <v>0</v>
      </c>
      <c r="H53" s="70"/>
      <c r="I53" s="71"/>
      <c r="J53" s="70"/>
      <c r="K53" s="70"/>
    </row>
    <row r="54" spans="1:11" s="72" customFormat="1" ht="21" customHeight="1">
      <c r="A54" s="66" t="s">
        <v>89</v>
      </c>
      <c r="B54" s="68">
        <v>907</v>
      </c>
      <c r="C54" s="68" t="s">
        <v>23</v>
      </c>
      <c r="D54" s="68" t="s">
        <v>24</v>
      </c>
      <c r="E54" s="68" t="s">
        <v>50</v>
      </c>
      <c r="F54" s="68" t="s">
        <v>97</v>
      </c>
      <c r="G54" s="69">
        <f t="shared" si="2"/>
        <v>607760</v>
      </c>
      <c r="H54" s="70"/>
      <c r="I54" s="71">
        <f>524200-30600</f>
        <v>493600</v>
      </c>
      <c r="J54" s="70">
        <f>268860-11800-55200-44800-42900</f>
        <v>114160</v>
      </c>
      <c r="K54" s="70"/>
    </row>
    <row r="55" spans="1:11" s="72" customFormat="1" ht="21" customHeight="1">
      <c r="A55" s="66" t="s">
        <v>89</v>
      </c>
      <c r="B55" s="68">
        <v>907</v>
      </c>
      <c r="C55" s="68" t="s">
        <v>23</v>
      </c>
      <c r="D55" s="68" t="s">
        <v>24</v>
      </c>
      <c r="E55" s="68" t="s">
        <v>49</v>
      </c>
      <c r="F55" s="68" t="s">
        <v>97</v>
      </c>
      <c r="G55" s="69">
        <f t="shared" si="2"/>
        <v>0</v>
      </c>
      <c r="H55" s="70"/>
      <c r="I55" s="71"/>
      <c r="J55" s="70"/>
      <c r="K55" s="70"/>
    </row>
    <row r="56" spans="1:11" s="72" customFormat="1" ht="21" customHeight="1">
      <c r="A56" s="66" t="s">
        <v>77</v>
      </c>
      <c r="B56" s="68">
        <v>907</v>
      </c>
      <c r="C56" s="68" t="s">
        <v>23</v>
      </c>
      <c r="D56" s="68" t="s">
        <v>24</v>
      </c>
      <c r="E56" s="68" t="s">
        <v>49</v>
      </c>
      <c r="F56" s="68" t="s">
        <v>97</v>
      </c>
      <c r="G56" s="69">
        <f t="shared" si="2"/>
        <v>44300</v>
      </c>
      <c r="H56" s="70"/>
      <c r="I56" s="71"/>
      <c r="J56" s="70">
        <f>235500-18600-76800-76800-19000</f>
        <v>44300</v>
      </c>
      <c r="K56" s="70"/>
    </row>
    <row r="57" spans="1:11" s="72" customFormat="1" ht="21" customHeight="1">
      <c r="A57" s="66" t="s">
        <v>91</v>
      </c>
      <c r="B57" s="68">
        <v>907</v>
      </c>
      <c r="C57" s="68" t="s">
        <v>23</v>
      </c>
      <c r="D57" s="68" t="s">
        <v>24</v>
      </c>
      <c r="E57" s="68" t="s">
        <v>49</v>
      </c>
      <c r="F57" s="68" t="s">
        <v>107</v>
      </c>
      <c r="G57" s="69">
        <f t="shared" si="2"/>
        <v>86820</v>
      </c>
      <c r="H57" s="70"/>
      <c r="I57" s="71"/>
      <c r="J57" s="70">
        <f>81700+5120</f>
        <v>86820</v>
      </c>
      <c r="K57" s="70"/>
    </row>
    <row r="58" spans="1:11" s="72" customFormat="1" ht="21" customHeight="1">
      <c r="A58" s="66" t="s">
        <v>91</v>
      </c>
      <c r="B58" s="68">
        <v>907</v>
      </c>
      <c r="C58" s="68" t="s">
        <v>23</v>
      </c>
      <c r="D58" s="68" t="s">
        <v>24</v>
      </c>
      <c r="E58" s="68" t="s">
        <v>49</v>
      </c>
      <c r="F58" s="68" t="s">
        <v>100</v>
      </c>
      <c r="G58" s="69">
        <f t="shared" si="2"/>
        <v>4240</v>
      </c>
      <c r="H58" s="70"/>
      <c r="I58" s="71"/>
      <c r="J58" s="70">
        <v>4240</v>
      </c>
      <c r="K58" s="70"/>
    </row>
    <row r="59" spans="1:11" s="72" customFormat="1" ht="22.5" customHeight="1">
      <c r="A59" s="66" t="s">
        <v>91</v>
      </c>
      <c r="B59" s="68">
        <v>907</v>
      </c>
      <c r="C59" s="68" t="s">
        <v>23</v>
      </c>
      <c r="D59" s="68" t="s">
        <v>24</v>
      </c>
      <c r="E59" s="68" t="s">
        <v>49</v>
      </c>
      <c r="F59" s="68" t="s">
        <v>108</v>
      </c>
      <c r="G59" s="69">
        <f t="shared" si="2"/>
        <v>13000</v>
      </c>
      <c r="H59" s="70"/>
      <c r="I59" s="71"/>
      <c r="J59" s="70">
        <f>3000+10000</f>
        <v>13000</v>
      </c>
      <c r="K59" s="70"/>
    </row>
    <row r="60" spans="1:11" s="72" customFormat="1" ht="22.5" customHeight="1">
      <c r="A60" s="66" t="s">
        <v>90</v>
      </c>
      <c r="B60" s="74">
        <v>907</v>
      </c>
      <c r="C60" s="74" t="s">
        <v>23</v>
      </c>
      <c r="D60" s="74" t="s">
        <v>24</v>
      </c>
      <c r="E60" s="68" t="s">
        <v>50</v>
      </c>
      <c r="F60" s="74" t="s">
        <v>97</v>
      </c>
      <c r="G60" s="69">
        <f t="shared" si="2"/>
        <v>1432060</v>
      </c>
      <c r="H60" s="70"/>
      <c r="I60" s="71">
        <f>100600-70900</f>
        <v>29700</v>
      </c>
      <c r="J60" s="70">
        <f>1465460-132100+69000</f>
        <v>1402360</v>
      </c>
      <c r="K60" s="70"/>
    </row>
    <row r="61" spans="1:11" s="72" customFormat="1" ht="22.5" customHeight="1">
      <c r="A61" s="66" t="s">
        <v>90</v>
      </c>
      <c r="B61" s="74">
        <v>907</v>
      </c>
      <c r="C61" s="74" t="s">
        <v>23</v>
      </c>
      <c r="D61" s="74" t="s">
        <v>24</v>
      </c>
      <c r="E61" s="68" t="s">
        <v>49</v>
      </c>
      <c r="F61" s="74" t="s">
        <v>97</v>
      </c>
      <c r="G61" s="69"/>
      <c r="H61" s="70"/>
      <c r="I61" s="71"/>
      <c r="J61" s="70"/>
      <c r="K61" s="70"/>
    </row>
    <row r="62" spans="1:11" s="72" customFormat="1" ht="21.75" customHeight="1">
      <c r="A62" s="66" t="s">
        <v>109</v>
      </c>
      <c r="B62" s="68">
        <v>907</v>
      </c>
      <c r="C62" s="68" t="s">
        <v>23</v>
      </c>
      <c r="D62" s="68" t="s">
        <v>24</v>
      </c>
      <c r="E62" s="68" t="s">
        <v>50</v>
      </c>
      <c r="F62" s="68" t="s">
        <v>97</v>
      </c>
      <c r="G62" s="69">
        <f t="shared" si="2"/>
        <v>60200</v>
      </c>
      <c r="H62" s="70"/>
      <c r="I62" s="71">
        <f>332000-271800</f>
        <v>60200</v>
      </c>
      <c r="J62" s="70"/>
      <c r="K62" s="70"/>
    </row>
    <row r="63" spans="1:11" s="72" customFormat="1" ht="21.75" customHeight="1">
      <c r="A63" s="66" t="s">
        <v>110</v>
      </c>
      <c r="B63" s="68" t="s">
        <v>26</v>
      </c>
      <c r="C63" s="68" t="s">
        <v>23</v>
      </c>
      <c r="D63" s="68" t="s">
        <v>24</v>
      </c>
      <c r="E63" s="68" t="s">
        <v>50</v>
      </c>
      <c r="F63" s="68" t="s">
        <v>97</v>
      </c>
      <c r="G63" s="69"/>
      <c r="H63" s="70"/>
      <c r="I63" s="71"/>
      <c r="J63" s="70"/>
      <c r="K63" s="70"/>
    </row>
    <row r="64" spans="1:11" s="72" customFormat="1" ht="21.75" customHeight="1">
      <c r="A64" s="66" t="s">
        <v>78</v>
      </c>
      <c r="B64" s="74">
        <v>907</v>
      </c>
      <c r="C64" s="74" t="s">
        <v>23</v>
      </c>
      <c r="D64" s="74" t="s">
        <v>24</v>
      </c>
      <c r="E64" s="68" t="s">
        <v>50</v>
      </c>
      <c r="F64" s="74" t="s">
        <v>97</v>
      </c>
      <c r="G64" s="69">
        <f t="shared" si="2"/>
        <v>40880</v>
      </c>
      <c r="H64" s="70"/>
      <c r="I64" s="71">
        <f>268880-175000-66000</f>
        <v>27880</v>
      </c>
      <c r="J64" s="70">
        <f>10000+3000</f>
        <v>13000</v>
      </c>
      <c r="K64" s="70"/>
    </row>
    <row r="65" spans="1:11" s="72" customFormat="1" ht="21.75" customHeight="1">
      <c r="A65" s="66" t="s">
        <v>78</v>
      </c>
      <c r="B65" s="68">
        <v>907</v>
      </c>
      <c r="C65" s="68" t="s">
        <v>23</v>
      </c>
      <c r="D65" s="68" t="s">
        <v>24</v>
      </c>
      <c r="E65" s="68" t="s">
        <v>49</v>
      </c>
      <c r="F65" s="68" t="s">
        <v>97</v>
      </c>
      <c r="G65" s="69">
        <f t="shared" si="2"/>
        <v>0</v>
      </c>
      <c r="H65" s="70"/>
      <c r="I65" s="70"/>
      <c r="J65" s="70"/>
      <c r="K65" s="70"/>
    </row>
    <row r="66" spans="1:11" s="61" customFormat="1" ht="18.75" customHeight="1">
      <c r="A66" s="62" t="s">
        <v>64</v>
      </c>
      <c r="B66" s="57"/>
      <c r="C66" s="57"/>
      <c r="D66" s="57"/>
      <c r="E66" s="57"/>
      <c r="F66" s="57"/>
      <c r="G66" s="59">
        <f aca="true" t="shared" si="3" ref="G66:G84">SUM(H66:K66)</f>
        <v>733037.22</v>
      </c>
      <c r="H66" s="60">
        <f>SUM(H67:H71)</f>
        <v>0</v>
      </c>
      <c r="I66" s="60">
        <f>SUM(I67:I79)</f>
        <v>210154.78999999998</v>
      </c>
      <c r="J66" s="60">
        <f>SUM(J67:J79)</f>
        <v>522882.43</v>
      </c>
      <c r="K66" s="60">
        <f>SUM(K67:K71)</f>
        <v>0</v>
      </c>
    </row>
    <row r="67" spans="1:11" s="25" customFormat="1" ht="21" customHeight="1">
      <c r="A67" s="44" t="s">
        <v>17</v>
      </c>
      <c r="B67" s="29">
        <v>907</v>
      </c>
      <c r="C67" s="29" t="s">
        <v>23</v>
      </c>
      <c r="D67" s="29" t="s">
        <v>24</v>
      </c>
      <c r="E67" s="29" t="s">
        <v>79</v>
      </c>
      <c r="F67" s="29" t="s">
        <v>97</v>
      </c>
      <c r="G67" s="50">
        <f t="shared" si="3"/>
        <v>67900</v>
      </c>
      <c r="H67" s="37"/>
      <c r="I67" s="37"/>
      <c r="J67" s="37">
        <f>J19+J20+J22</f>
        <v>67900</v>
      </c>
      <c r="K67" s="37"/>
    </row>
    <row r="68" spans="1:11" s="25" customFormat="1" ht="21" customHeight="1">
      <c r="A68" s="44" t="s">
        <v>17</v>
      </c>
      <c r="B68" s="29" t="s">
        <v>26</v>
      </c>
      <c r="C68" s="29" t="s">
        <v>23</v>
      </c>
      <c r="D68" s="29" t="s">
        <v>24</v>
      </c>
      <c r="E68" s="29" t="s">
        <v>117</v>
      </c>
      <c r="F68" s="29" t="s">
        <v>97</v>
      </c>
      <c r="G68" s="50">
        <f t="shared" si="3"/>
        <v>0</v>
      </c>
      <c r="H68" s="37"/>
      <c r="I68" s="37"/>
      <c r="J68" s="37"/>
      <c r="K68" s="37"/>
    </row>
    <row r="69" spans="1:11" s="25" customFormat="1" ht="21" customHeight="1">
      <c r="A69" s="44" t="s">
        <v>18</v>
      </c>
      <c r="B69" s="29">
        <v>907</v>
      </c>
      <c r="C69" s="29" t="s">
        <v>23</v>
      </c>
      <c r="D69" s="29" t="s">
        <v>24</v>
      </c>
      <c r="E69" s="29" t="s">
        <v>71</v>
      </c>
      <c r="F69" s="29" t="s">
        <v>97</v>
      </c>
      <c r="G69" s="50">
        <f t="shared" si="3"/>
        <v>12000</v>
      </c>
      <c r="H69" s="37"/>
      <c r="I69" s="37"/>
      <c r="J69" s="37">
        <f>J24</f>
        <v>12000</v>
      </c>
      <c r="K69" s="37"/>
    </row>
    <row r="70" spans="1:11" s="25" customFormat="1" ht="21.75" customHeight="1">
      <c r="A70" s="44" t="s">
        <v>18</v>
      </c>
      <c r="B70" s="29">
        <v>907</v>
      </c>
      <c r="C70" s="29" t="s">
        <v>23</v>
      </c>
      <c r="D70" s="29" t="s">
        <v>23</v>
      </c>
      <c r="E70" s="29" t="s">
        <v>71</v>
      </c>
      <c r="F70" s="29" t="s">
        <v>97</v>
      </c>
      <c r="G70" s="50">
        <f t="shared" si="3"/>
        <v>6400</v>
      </c>
      <c r="H70" s="31"/>
      <c r="I70" s="31"/>
      <c r="J70" s="31">
        <f>J21</f>
        <v>6400</v>
      </c>
      <c r="K70" s="31"/>
    </row>
    <row r="71" spans="1:11" s="25" customFormat="1" ht="21.75" customHeight="1">
      <c r="A71" s="44" t="s">
        <v>18</v>
      </c>
      <c r="B71" s="29">
        <v>907</v>
      </c>
      <c r="C71" s="29" t="s">
        <v>23</v>
      </c>
      <c r="D71" s="29" t="s">
        <v>23</v>
      </c>
      <c r="E71" s="29" t="s">
        <v>111</v>
      </c>
      <c r="F71" s="29" t="s">
        <v>97</v>
      </c>
      <c r="G71" s="50">
        <f t="shared" si="3"/>
        <v>180154.78999999998</v>
      </c>
      <c r="H71" s="31"/>
      <c r="I71" s="31">
        <f>I16</f>
        <v>180154.78999999998</v>
      </c>
      <c r="J71" s="31"/>
      <c r="K71" s="31"/>
    </row>
    <row r="72" spans="1:11" s="25" customFormat="1" ht="21.75" customHeight="1">
      <c r="A72" s="44" t="s">
        <v>18</v>
      </c>
      <c r="B72" s="29" t="s">
        <v>26</v>
      </c>
      <c r="C72" s="29" t="s">
        <v>23</v>
      </c>
      <c r="D72" s="29" t="s">
        <v>23</v>
      </c>
      <c r="E72" s="29" t="s">
        <v>111</v>
      </c>
      <c r="F72" s="29" t="s">
        <v>97</v>
      </c>
      <c r="G72" s="50">
        <f t="shared" si="3"/>
        <v>9282.43</v>
      </c>
      <c r="H72" s="37"/>
      <c r="I72" s="37"/>
      <c r="J72" s="37">
        <f>J17</f>
        <v>9282.43</v>
      </c>
      <c r="K72" s="37"/>
    </row>
    <row r="73" spans="1:11" s="25" customFormat="1" ht="21.75" customHeight="1">
      <c r="A73" s="44" t="s">
        <v>18</v>
      </c>
      <c r="B73" s="29" t="s">
        <v>26</v>
      </c>
      <c r="C73" s="29" t="s">
        <v>23</v>
      </c>
      <c r="D73" s="29" t="s">
        <v>23</v>
      </c>
      <c r="E73" s="29" t="s">
        <v>106</v>
      </c>
      <c r="F73" s="29" t="s">
        <v>97</v>
      </c>
      <c r="G73" s="50">
        <f t="shared" si="3"/>
        <v>28000</v>
      </c>
      <c r="H73" s="37"/>
      <c r="I73" s="37"/>
      <c r="J73" s="37">
        <f>J18</f>
        <v>28000</v>
      </c>
      <c r="K73" s="37"/>
    </row>
    <row r="74" spans="1:11" s="25" customFormat="1" ht="21.75" customHeight="1">
      <c r="A74" s="44" t="s">
        <v>18</v>
      </c>
      <c r="B74" s="29" t="s">
        <v>26</v>
      </c>
      <c r="C74" s="29" t="s">
        <v>23</v>
      </c>
      <c r="D74" s="29" t="s">
        <v>23</v>
      </c>
      <c r="E74" s="29" t="s">
        <v>119</v>
      </c>
      <c r="F74" s="29" t="s">
        <v>97</v>
      </c>
      <c r="G74" s="50">
        <f t="shared" si="3"/>
        <v>87200</v>
      </c>
      <c r="H74" s="37"/>
      <c r="I74" s="37"/>
      <c r="J74" s="37">
        <f>J25+J26</f>
        <v>87200</v>
      </c>
      <c r="K74" s="37"/>
    </row>
    <row r="75" spans="1:11" s="25" customFormat="1" ht="21.75" customHeight="1">
      <c r="A75" s="44" t="s">
        <v>18</v>
      </c>
      <c r="B75" s="29" t="s">
        <v>26</v>
      </c>
      <c r="C75" s="29" t="s">
        <v>23</v>
      </c>
      <c r="D75" s="29" t="s">
        <v>24</v>
      </c>
      <c r="E75" s="29" t="s">
        <v>95</v>
      </c>
      <c r="F75" s="29" t="s">
        <v>97</v>
      </c>
      <c r="G75" s="50">
        <f t="shared" si="3"/>
        <v>98100</v>
      </c>
      <c r="H75" s="37"/>
      <c r="I75" s="37"/>
      <c r="J75" s="37">
        <f>J30</f>
        <v>98100</v>
      </c>
      <c r="K75" s="37"/>
    </row>
    <row r="76" spans="1:11" s="25" customFormat="1" ht="21.75" customHeight="1">
      <c r="A76" s="44" t="s">
        <v>142</v>
      </c>
      <c r="B76" s="29" t="s">
        <v>26</v>
      </c>
      <c r="C76" s="29" t="s">
        <v>23</v>
      </c>
      <c r="D76" s="29" t="s">
        <v>24</v>
      </c>
      <c r="E76" s="29" t="s">
        <v>95</v>
      </c>
      <c r="F76" s="29" t="s">
        <v>97</v>
      </c>
      <c r="G76" s="50">
        <f t="shared" si="3"/>
        <v>153600</v>
      </c>
      <c r="H76" s="37"/>
      <c r="I76" s="37"/>
      <c r="J76" s="37">
        <f>J31</f>
        <v>153600</v>
      </c>
      <c r="K76" s="37"/>
    </row>
    <row r="77" spans="1:11" s="25" customFormat="1" ht="21.75" customHeight="1">
      <c r="A77" s="44" t="s">
        <v>63</v>
      </c>
      <c r="B77" s="29" t="s">
        <v>26</v>
      </c>
      <c r="C77" s="29" t="s">
        <v>23</v>
      </c>
      <c r="D77" s="29" t="s">
        <v>24</v>
      </c>
      <c r="E77" s="29" t="s">
        <v>95</v>
      </c>
      <c r="F77" s="29" t="s">
        <v>97</v>
      </c>
      <c r="G77" s="50">
        <f t="shared" si="3"/>
        <v>3700</v>
      </c>
      <c r="H77" s="37"/>
      <c r="I77" s="37"/>
      <c r="J77" s="37">
        <f>J23</f>
        <v>3700</v>
      </c>
      <c r="K77" s="37"/>
    </row>
    <row r="78" spans="1:11" s="25" customFormat="1" ht="21.75" customHeight="1">
      <c r="A78" s="44" t="s">
        <v>96</v>
      </c>
      <c r="B78" s="29">
        <v>907</v>
      </c>
      <c r="C78" s="29" t="s">
        <v>23</v>
      </c>
      <c r="D78" s="29" t="s">
        <v>24</v>
      </c>
      <c r="E78" s="29" t="s">
        <v>79</v>
      </c>
      <c r="F78" s="29" t="s">
        <v>97</v>
      </c>
      <c r="G78" s="50">
        <f t="shared" si="3"/>
        <v>34400</v>
      </c>
      <c r="H78" s="37"/>
      <c r="I78" s="37">
        <f>I29</f>
        <v>30000</v>
      </c>
      <c r="J78" s="37">
        <f>J28+J29</f>
        <v>4400</v>
      </c>
      <c r="K78" s="37"/>
    </row>
    <row r="79" spans="1:11" s="25" customFormat="1" ht="21.75" customHeight="1">
      <c r="A79" s="44" t="s">
        <v>18</v>
      </c>
      <c r="B79" s="29">
        <v>907</v>
      </c>
      <c r="C79" s="29" t="s">
        <v>23</v>
      </c>
      <c r="D79" s="29" t="s">
        <v>24</v>
      </c>
      <c r="E79" s="29" t="s">
        <v>79</v>
      </c>
      <c r="F79" s="29" t="s">
        <v>97</v>
      </c>
      <c r="G79" s="50">
        <f t="shared" si="3"/>
        <v>52300</v>
      </c>
      <c r="H79" s="37"/>
      <c r="I79" s="37"/>
      <c r="J79" s="37">
        <f>J27</f>
        <v>52300</v>
      </c>
      <c r="K79" s="37"/>
    </row>
    <row r="80" spans="1:11" s="61" customFormat="1" ht="15.75" customHeight="1">
      <c r="A80" s="62" t="s">
        <v>65</v>
      </c>
      <c r="B80" s="57"/>
      <c r="C80" s="57"/>
      <c r="D80" s="57"/>
      <c r="E80" s="57"/>
      <c r="F80" s="57"/>
      <c r="G80" s="59">
        <f t="shared" si="3"/>
        <v>706013.76</v>
      </c>
      <c r="H80" s="60">
        <f>SUM(H81:H83)</f>
        <v>0</v>
      </c>
      <c r="I80" s="60">
        <f>SUM(I81:I83)</f>
        <v>0</v>
      </c>
      <c r="J80" s="60">
        <f>SUM(J81:J83)</f>
        <v>0</v>
      </c>
      <c r="K80" s="60">
        <f>SUM(K81:K83)</f>
        <v>706013.76</v>
      </c>
    </row>
    <row r="81" spans="1:11" s="25" customFormat="1" ht="21" customHeight="1">
      <c r="A81" s="44" t="s">
        <v>92</v>
      </c>
      <c r="B81" s="29">
        <v>907</v>
      </c>
      <c r="C81" s="29" t="s">
        <v>23</v>
      </c>
      <c r="D81" s="29" t="s">
        <v>24</v>
      </c>
      <c r="E81" s="29" t="s">
        <v>49</v>
      </c>
      <c r="F81" s="29" t="s">
        <v>97</v>
      </c>
      <c r="G81" s="50">
        <f t="shared" si="3"/>
        <v>0</v>
      </c>
      <c r="H81" s="37"/>
      <c r="I81" s="37"/>
      <c r="J81" s="37"/>
      <c r="K81" s="37"/>
    </row>
    <row r="82" spans="1:11" s="25" customFormat="1" ht="21" customHeight="1">
      <c r="A82" s="44" t="s">
        <v>93</v>
      </c>
      <c r="B82" s="29">
        <v>907</v>
      </c>
      <c r="C82" s="29" t="s">
        <v>23</v>
      </c>
      <c r="D82" s="29" t="s">
        <v>24</v>
      </c>
      <c r="E82" s="29" t="s">
        <v>49</v>
      </c>
      <c r="F82" s="29" t="s">
        <v>97</v>
      </c>
      <c r="G82" s="50">
        <f t="shared" si="3"/>
        <v>554053.69</v>
      </c>
      <c r="H82" s="37"/>
      <c r="I82" s="37"/>
      <c r="J82" s="37"/>
      <c r="K82" s="37">
        <f>4053.69+K36</f>
        <v>554053.69</v>
      </c>
    </row>
    <row r="83" spans="1:12" s="55" customFormat="1" ht="21" customHeight="1">
      <c r="A83" s="52" t="s">
        <v>74</v>
      </c>
      <c r="B83" s="53">
        <v>907</v>
      </c>
      <c r="C83" s="53" t="s">
        <v>23</v>
      </c>
      <c r="D83" s="53" t="s">
        <v>24</v>
      </c>
      <c r="E83" s="53" t="s">
        <v>49</v>
      </c>
      <c r="F83" s="53" t="s">
        <v>97</v>
      </c>
      <c r="G83" s="33">
        <f t="shared" si="3"/>
        <v>151960.07</v>
      </c>
      <c r="H83" s="54"/>
      <c r="I83" s="54"/>
      <c r="J83" s="54"/>
      <c r="K83" s="54">
        <f>1960.07+K35</f>
        <v>151960.07</v>
      </c>
      <c r="L83" s="78">
        <f>I49+J49+J51+J52+I52+I54+J54+J56+I60+J60+I62+I63+J64+I66+J66+K80</f>
        <v>4446990.98</v>
      </c>
    </row>
    <row r="84" spans="1:12" s="61" customFormat="1" ht="25.5" customHeight="1">
      <c r="A84" s="62" t="s">
        <v>66</v>
      </c>
      <c r="B84" s="57"/>
      <c r="C84" s="57"/>
      <c r="D84" s="57"/>
      <c r="E84" s="57"/>
      <c r="F84" s="57"/>
      <c r="G84" s="59">
        <f t="shared" si="3"/>
        <v>15199650.979999999</v>
      </c>
      <c r="H84" s="60">
        <f>SUM(H85:H94)</f>
        <v>0</v>
      </c>
      <c r="I84" s="60">
        <f>SUM(I85:I95)</f>
        <v>10515554.79</v>
      </c>
      <c r="J84" s="60">
        <f>SUM(J85:J95)</f>
        <v>3978082.4299999997</v>
      </c>
      <c r="K84" s="60">
        <f>SUM(K85:K94)</f>
        <v>706013.76</v>
      </c>
      <c r="L84" s="63">
        <f>G8-G84</f>
        <v>-6013.759999997914</v>
      </c>
    </row>
    <row r="85" spans="1:11" s="25" customFormat="1" ht="21.75" customHeight="1">
      <c r="A85" s="44" t="s">
        <v>14</v>
      </c>
      <c r="B85" s="11"/>
      <c r="C85" s="29"/>
      <c r="D85" s="29"/>
      <c r="E85" s="29"/>
      <c r="F85" s="29"/>
      <c r="G85" s="50">
        <f>I85+J85+K85</f>
        <v>8107000</v>
      </c>
      <c r="H85" s="37">
        <f>H40+H41+H43</f>
        <v>0</v>
      </c>
      <c r="I85" s="37">
        <f>I40+I41</f>
        <v>7305100</v>
      </c>
      <c r="J85" s="37">
        <f>J42+J43</f>
        <v>801900</v>
      </c>
      <c r="K85" s="37">
        <f>K40+K41+K43</f>
        <v>0</v>
      </c>
    </row>
    <row r="86" spans="1:11" s="25" customFormat="1" ht="21.75" customHeight="1">
      <c r="A86" s="44" t="s">
        <v>103</v>
      </c>
      <c r="B86" s="11"/>
      <c r="C86" s="29"/>
      <c r="D86" s="29"/>
      <c r="E86" s="29"/>
      <c r="F86" s="29"/>
      <c r="G86" s="50">
        <f aca="true" t="shared" si="4" ref="G86:G95">I86+J86+K86</f>
        <v>65400</v>
      </c>
      <c r="H86" s="37"/>
      <c r="I86" s="37">
        <f>I44</f>
        <v>65400</v>
      </c>
      <c r="J86" s="37">
        <v>0</v>
      </c>
      <c r="K86" s="37"/>
    </row>
    <row r="87" spans="1:11" s="25" customFormat="1" ht="22.5" customHeight="1">
      <c r="A87" s="44" t="s">
        <v>15</v>
      </c>
      <c r="B87" s="29"/>
      <c r="C87" s="29"/>
      <c r="D87" s="29"/>
      <c r="E87" s="29"/>
      <c r="F87" s="29"/>
      <c r="G87" s="50">
        <f t="shared" si="4"/>
        <v>2448320</v>
      </c>
      <c r="H87" s="37">
        <f>H45+H46+H48</f>
        <v>0</v>
      </c>
      <c r="I87" s="37">
        <f>I45+I46</f>
        <v>2206120</v>
      </c>
      <c r="J87" s="37">
        <f>J47+J48</f>
        <v>242200</v>
      </c>
      <c r="K87" s="37">
        <f>K45+K46+K48</f>
        <v>0</v>
      </c>
    </row>
    <row r="88" spans="1:11" s="25" customFormat="1" ht="22.5" customHeight="1">
      <c r="A88" s="44" t="s">
        <v>104</v>
      </c>
      <c r="B88" s="29"/>
      <c r="C88" s="29"/>
      <c r="D88" s="29"/>
      <c r="E88" s="29"/>
      <c r="F88" s="29"/>
      <c r="G88" s="50">
        <f t="shared" si="4"/>
        <v>0</v>
      </c>
      <c r="H88" s="37"/>
      <c r="I88" s="37"/>
      <c r="J88" s="37"/>
      <c r="K88" s="37"/>
    </row>
    <row r="89" spans="1:11" s="25" customFormat="1" ht="23.25" customHeight="1">
      <c r="A89" s="44" t="s">
        <v>16</v>
      </c>
      <c r="B89" s="29"/>
      <c r="C89" s="29"/>
      <c r="D89" s="29"/>
      <c r="E89" s="29"/>
      <c r="F89" s="29"/>
      <c r="G89" s="50">
        <f t="shared" si="4"/>
        <v>56000</v>
      </c>
      <c r="H89" s="37">
        <f>H50</f>
        <v>0</v>
      </c>
      <c r="I89" s="37">
        <f>I49</f>
        <v>50000</v>
      </c>
      <c r="J89" s="37">
        <f>J49</f>
        <v>6000</v>
      </c>
      <c r="K89" s="37">
        <f>K50</f>
        <v>0</v>
      </c>
    </row>
    <row r="90" spans="1:11" s="25" customFormat="1" ht="21" customHeight="1">
      <c r="A90" s="44" t="s">
        <v>10</v>
      </c>
      <c r="B90" s="29"/>
      <c r="C90" s="29"/>
      <c r="D90" s="29"/>
      <c r="E90" s="29"/>
      <c r="F90" s="29"/>
      <c r="G90" s="50">
        <f t="shared" si="4"/>
        <v>528400</v>
      </c>
      <c r="H90" s="37">
        <f>H51+H81</f>
        <v>0</v>
      </c>
      <c r="I90" s="37"/>
      <c r="J90" s="37">
        <f>J51+J81</f>
        <v>528400</v>
      </c>
      <c r="K90" s="37">
        <f>K51+K81</f>
        <v>0</v>
      </c>
    </row>
    <row r="91" spans="1:11" s="25" customFormat="1" ht="21" customHeight="1">
      <c r="A91" s="44" t="s">
        <v>17</v>
      </c>
      <c r="B91" s="29"/>
      <c r="C91" s="29"/>
      <c r="D91" s="29"/>
      <c r="E91" s="29"/>
      <c r="F91" s="29"/>
      <c r="G91" s="50">
        <f t="shared" si="4"/>
        <v>340520</v>
      </c>
      <c r="H91" s="37">
        <f>H53+H67</f>
        <v>0</v>
      </c>
      <c r="I91" s="37">
        <f>I52+I67+I68</f>
        <v>67400</v>
      </c>
      <c r="J91" s="37">
        <f>J52+J67+J70+J68</f>
        <v>273120</v>
      </c>
      <c r="K91" s="37">
        <f>K53+K67</f>
        <v>0</v>
      </c>
    </row>
    <row r="92" spans="1:11" s="25" customFormat="1" ht="21" customHeight="1">
      <c r="A92" s="44" t="s">
        <v>18</v>
      </c>
      <c r="B92" s="29"/>
      <c r="C92" s="29"/>
      <c r="D92" s="29"/>
      <c r="E92" s="29"/>
      <c r="F92" s="29"/>
      <c r="G92" s="50">
        <f t="shared" si="4"/>
        <v>1978710.98</v>
      </c>
      <c r="H92" s="37">
        <f>H54+H55+H56+H69+H82+H83</f>
        <v>0</v>
      </c>
      <c r="I92" s="37">
        <f>I54+I55+I56+I69+I82+I83+I70+I71</f>
        <v>673754.79</v>
      </c>
      <c r="J92" s="37">
        <f>J54+J55+J56+J69+J72+J74+J73+J79+J75+J76</f>
        <v>598942.4299999999</v>
      </c>
      <c r="K92" s="37">
        <f>K82+K83</f>
        <v>706013.76</v>
      </c>
    </row>
    <row r="93" spans="1:11" s="25" customFormat="1" ht="22.5" customHeight="1">
      <c r="A93" s="44" t="s">
        <v>9</v>
      </c>
      <c r="B93" s="29"/>
      <c r="C93" s="29"/>
      <c r="D93" s="29"/>
      <c r="E93" s="29"/>
      <c r="F93" s="29"/>
      <c r="G93" s="50">
        <f t="shared" si="4"/>
        <v>104060</v>
      </c>
      <c r="H93" s="37">
        <f>H59</f>
        <v>0</v>
      </c>
      <c r="I93" s="37">
        <f>I59</f>
        <v>0</v>
      </c>
      <c r="J93" s="37">
        <f>J57+J58+J59</f>
        <v>104060</v>
      </c>
      <c r="K93" s="37">
        <f>K59</f>
        <v>0</v>
      </c>
    </row>
    <row r="94" spans="1:11" s="25" customFormat="1" ht="21.75" customHeight="1">
      <c r="A94" s="65" t="s">
        <v>63</v>
      </c>
      <c r="B94" s="29"/>
      <c r="C94" s="29"/>
      <c r="D94" s="29"/>
      <c r="E94" s="29"/>
      <c r="F94" s="29"/>
      <c r="G94" s="50">
        <f t="shared" si="4"/>
        <v>1476640</v>
      </c>
      <c r="H94" s="31">
        <f>H62+H65+H70+H71</f>
        <v>0</v>
      </c>
      <c r="I94" s="31">
        <f>I60+I64</f>
        <v>57580</v>
      </c>
      <c r="J94" s="31">
        <f>J60+J64+J77</f>
        <v>1419060</v>
      </c>
      <c r="K94" s="31">
        <f>K62+K65+K70+K71</f>
        <v>0</v>
      </c>
    </row>
    <row r="95" spans="1:12" s="25" customFormat="1" ht="21.75" customHeight="1">
      <c r="A95" s="65" t="s">
        <v>96</v>
      </c>
      <c r="B95" s="29"/>
      <c r="C95" s="29"/>
      <c r="D95" s="29"/>
      <c r="E95" s="29"/>
      <c r="F95" s="29"/>
      <c r="G95" s="50">
        <f t="shared" si="4"/>
        <v>94600</v>
      </c>
      <c r="H95" s="31"/>
      <c r="I95" s="31">
        <f>I62+I63+I78</f>
        <v>90200</v>
      </c>
      <c r="J95" s="31">
        <f>J78</f>
        <v>4400</v>
      </c>
      <c r="K95" s="31"/>
      <c r="L95" s="82">
        <f>G89+G90+G91+G92+G94+G95</f>
        <v>4474870.98</v>
      </c>
    </row>
    <row r="96" spans="1:11" ht="18.75">
      <c r="A96" s="7" t="s">
        <v>80</v>
      </c>
      <c r="B96" s="12"/>
      <c r="C96" s="12"/>
      <c r="D96" s="12"/>
      <c r="E96" s="12"/>
      <c r="F96" s="12"/>
      <c r="G96" s="12"/>
      <c r="H96" s="12"/>
      <c r="I96" s="12" t="s">
        <v>112</v>
      </c>
      <c r="J96" s="12"/>
      <c r="K96" s="12"/>
    </row>
    <row r="97" spans="1:11" ht="18.75">
      <c r="A97" s="7"/>
      <c r="B97" s="102" t="s">
        <v>11</v>
      </c>
      <c r="C97" s="102"/>
      <c r="D97" s="102"/>
      <c r="E97" s="102"/>
      <c r="F97" s="102"/>
      <c r="G97" s="102"/>
      <c r="H97" s="102"/>
      <c r="I97" s="102" t="s">
        <v>12</v>
      </c>
      <c r="J97" s="102"/>
      <c r="K97" s="28"/>
    </row>
    <row r="98" spans="1:11" ht="18.75">
      <c r="A98" s="9"/>
      <c r="B98" s="103"/>
      <c r="C98" s="103"/>
      <c r="D98" s="103"/>
      <c r="E98" s="103"/>
      <c r="F98" s="103"/>
      <c r="G98" s="103"/>
      <c r="H98" s="103"/>
      <c r="I98" s="103"/>
      <c r="J98" s="103"/>
      <c r="K98" s="16"/>
    </row>
    <row r="99" spans="1:11" ht="18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</sheetData>
  <sheetProtection/>
  <mergeCells count="17">
    <mergeCell ref="A2:J2"/>
    <mergeCell ref="A3:A5"/>
    <mergeCell ref="B3:B5"/>
    <mergeCell ref="C3:C5"/>
    <mergeCell ref="D3:D5"/>
    <mergeCell ref="E3:E5"/>
    <mergeCell ref="F3:F5"/>
    <mergeCell ref="G3:G5"/>
    <mergeCell ref="H3:K3"/>
    <mergeCell ref="H4:H5"/>
    <mergeCell ref="I4:I5"/>
    <mergeCell ref="J4:J5"/>
    <mergeCell ref="K4:K5"/>
    <mergeCell ref="B97:H97"/>
    <mergeCell ref="I97:J97"/>
    <mergeCell ref="B98:H98"/>
    <mergeCell ref="I98:J98"/>
  </mergeCells>
  <printOptions/>
  <pageMargins left="0.5118110236220472" right="0.5118110236220472" top="0.07874015748031496" bottom="0.07874015748031496" header="0.03937007874015748" footer="0.03937007874015748"/>
  <pageSetup fitToHeight="100" horizontalDpi="600" verticalDpi="600" orientation="landscape" paperSize="9" scale="42" r:id="rId3"/>
  <rowBreaks count="1" manualBreakCount="1">
    <brk id="3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32.50390625" style="0" customWidth="1"/>
    <col min="2" max="2" width="6.50390625" style="0" customWidth="1"/>
    <col min="3" max="3" width="6.75390625" style="0" customWidth="1"/>
    <col min="4" max="5" width="9.75390625" style="0" customWidth="1"/>
    <col min="6" max="6" width="9.875" style="0" customWidth="1"/>
    <col min="7" max="7" width="9.75390625" style="0" customWidth="1"/>
    <col min="8" max="8" width="9.875" style="0" customWidth="1"/>
    <col min="9" max="10" width="9.625" style="0" customWidth="1"/>
  </cols>
  <sheetData>
    <row r="1" ht="16.5" thickBot="1">
      <c r="L1" s="79" t="s">
        <v>126</v>
      </c>
    </row>
    <row r="2" spans="1:12" ht="60.75" customHeight="1">
      <c r="A2" s="105" t="s">
        <v>144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6.5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 customHeight="1" thickBot="1">
      <c r="A4" s="108" t="s">
        <v>6</v>
      </c>
      <c r="B4" s="108" t="s">
        <v>127</v>
      </c>
      <c r="C4" s="108" t="s">
        <v>128</v>
      </c>
      <c r="D4" s="111" t="s">
        <v>129</v>
      </c>
      <c r="E4" s="112"/>
      <c r="F4" s="112"/>
      <c r="G4" s="112"/>
      <c r="H4" s="112"/>
      <c r="I4" s="112"/>
      <c r="J4" s="112"/>
      <c r="K4" s="112"/>
      <c r="L4" s="113"/>
    </row>
    <row r="5" spans="1:12" ht="16.5" thickBot="1">
      <c r="A5" s="109"/>
      <c r="B5" s="109"/>
      <c r="C5" s="109"/>
      <c r="D5" s="114" t="s">
        <v>130</v>
      </c>
      <c r="E5" s="115"/>
      <c r="F5" s="116"/>
      <c r="G5" s="111" t="s">
        <v>7</v>
      </c>
      <c r="H5" s="112"/>
      <c r="I5" s="112"/>
      <c r="J5" s="112"/>
      <c r="K5" s="112"/>
      <c r="L5" s="113"/>
    </row>
    <row r="6" spans="1:12" ht="72" customHeight="1" thickBot="1">
      <c r="A6" s="109"/>
      <c r="B6" s="109"/>
      <c r="C6" s="109"/>
      <c r="D6" s="117"/>
      <c r="E6" s="118"/>
      <c r="F6" s="119"/>
      <c r="G6" s="120" t="s">
        <v>131</v>
      </c>
      <c r="H6" s="121"/>
      <c r="I6" s="122"/>
      <c r="J6" s="120" t="s">
        <v>132</v>
      </c>
      <c r="K6" s="121"/>
      <c r="L6" s="122"/>
    </row>
    <row r="7" spans="1:12" ht="75.75" thickBot="1">
      <c r="A7" s="110"/>
      <c r="B7" s="110"/>
      <c r="C7" s="110"/>
      <c r="D7" s="83" t="s">
        <v>133</v>
      </c>
      <c r="E7" s="83" t="s">
        <v>134</v>
      </c>
      <c r="F7" s="83" t="s">
        <v>135</v>
      </c>
      <c r="G7" s="83" t="s">
        <v>133</v>
      </c>
      <c r="H7" s="83" t="s">
        <v>134</v>
      </c>
      <c r="I7" s="83" t="s">
        <v>135</v>
      </c>
      <c r="J7" s="83" t="s">
        <v>133</v>
      </c>
      <c r="K7" s="83" t="s">
        <v>134</v>
      </c>
      <c r="L7" s="83" t="s">
        <v>135</v>
      </c>
    </row>
    <row r="8" spans="1:12" ht="16.5" thickBot="1">
      <c r="A8" s="84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</row>
    <row r="9" spans="1:12" ht="30.75" thickBot="1">
      <c r="A9" s="88" t="s">
        <v>136</v>
      </c>
      <c r="B9" s="83"/>
      <c r="C9" s="83">
        <v>2018</v>
      </c>
      <c r="D9" s="80">
        <f>D11+D12</f>
        <v>4474870.98</v>
      </c>
      <c r="E9" s="80"/>
      <c r="F9" s="80"/>
      <c r="G9" s="80">
        <f>D9</f>
        <v>4474870.98</v>
      </c>
      <c r="H9" s="80"/>
      <c r="I9" s="80"/>
      <c r="J9" s="80"/>
      <c r="K9" s="80"/>
      <c r="L9" s="80"/>
    </row>
    <row r="10" spans="1:12" ht="16.5" thickBot="1">
      <c r="A10" s="89" t="s">
        <v>137</v>
      </c>
      <c r="B10" s="83"/>
      <c r="C10" s="83"/>
      <c r="D10" s="80"/>
      <c r="E10" s="80"/>
      <c r="F10" s="80"/>
      <c r="G10" s="80">
        <f>D10</f>
        <v>0</v>
      </c>
      <c r="H10" s="80"/>
      <c r="I10" s="80"/>
      <c r="J10" s="80"/>
      <c r="K10" s="80"/>
      <c r="L10" s="80"/>
    </row>
    <row r="11" spans="1:12" ht="41.25" customHeight="1" thickBot="1">
      <c r="A11" s="89" t="s">
        <v>138</v>
      </c>
      <c r="B11" s="81"/>
      <c r="C11" s="83">
        <v>2018</v>
      </c>
      <c r="D11" s="80">
        <v>5700</v>
      </c>
      <c r="E11" s="80"/>
      <c r="F11" s="80"/>
      <c r="G11" s="80">
        <f>D11</f>
        <v>5700</v>
      </c>
      <c r="H11" s="80"/>
      <c r="I11" s="80"/>
      <c r="J11" s="80"/>
      <c r="K11" s="80"/>
      <c r="L11" s="80"/>
    </row>
    <row r="12" spans="1:12" ht="30.75" thickBot="1">
      <c r="A12" s="89" t="s">
        <v>139</v>
      </c>
      <c r="B12" s="83"/>
      <c r="C12" s="83">
        <v>2018</v>
      </c>
      <c r="D12" s="80">
        <v>4469170.98</v>
      </c>
      <c r="E12" s="80"/>
      <c r="F12" s="80"/>
      <c r="G12" s="80">
        <f>D12</f>
        <v>4469170.98</v>
      </c>
      <c r="H12" s="80"/>
      <c r="I12" s="80"/>
      <c r="J12" s="80"/>
      <c r="K12" s="80"/>
      <c r="L12" s="80"/>
    </row>
    <row r="13" spans="1:12" ht="30.75" thickBot="1">
      <c r="A13" s="88" t="s">
        <v>136</v>
      </c>
      <c r="B13" s="83"/>
      <c r="C13" s="83">
        <v>2019</v>
      </c>
      <c r="D13" s="80"/>
      <c r="E13" s="80">
        <f>E15+E16</f>
        <v>4553239.99</v>
      </c>
      <c r="F13" s="80"/>
      <c r="G13" s="80"/>
      <c r="H13" s="80">
        <f>E13</f>
        <v>4553239.99</v>
      </c>
      <c r="I13" s="80"/>
      <c r="J13" s="80"/>
      <c r="K13" s="80"/>
      <c r="L13" s="80"/>
    </row>
    <row r="14" spans="1:12" ht="16.5" thickBot="1">
      <c r="A14" s="89" t="s">
        <v>137</v>
      </c>
      <c r="B14" s="83"/>
      <c r="C14" s="83"/>
      <c r="D14" s="80"/>
      <c r="E14" s="80"/>
      <c r="F14" s="80"/>
      <c r="G14" s="80"/>
      <c r="H14" s="80">
        <f>E14</f>
        <v>0</v>
      </c>
      <c r="I14" s="80"/>
      <c r="J14" s="80"/>
      <c r="K14" s="80"/>
      <c r="L14" s="80"/>
    </row>
    <row r="15" spans="1:12" ht="41.25" customHeight="1" thickBot="1">
      <c r="A15" s="89" t="s">
        <v>138</v>
      </c>
      <c r="B15" s="81"/>
      <c r="C15" s="83">
        <v>2019</v>
      </c>
      <c r="D15" s="80"/>
      <c r="E15" s="80"/>
      <c r="F15" s="80"/>
      <c r="G15" s="80"/>
      <c r="H15" s="80">
        <f>E15</f>
        <v>0</v>
      </c>
      <c r="I15" s="80"/>
      <c r="J15" s="80"/>
      <c r="K15" s="80"/>
      <c r="L15" s="80"/>
    </row>
    <row r="16" spans="1:12" ht="30.75" thickBot="1">
      <c r="A16" s="89" t="s">
        <v>139</v>
      </c>
      <c r="B16" s="83"/>
      <c r="C16" s="83">
        <v>2019</v>
      </c>
      <c r="D16" s="80"/>
      <c r="E16" s="80">
        <v>4553239.99</v>
      </c>
      <c r="F16" s="80"/>
      <c r="G16" s="80"/>
      <c r="H16" s="80">
        <f>E16</f>
        <v>4553239.99</v>
      </c>
      <c r="I16" s="80"/>
      <c r="J16" s="80"/>
      <c r="K16" s="80"/>
      <c r="L16" s="80"/>
    </row>
    <row r="17" spans="1:12" ht="30.75" thickBot="1">
      <c r="A17" s="88" t="s">
        <v>136</v>
      </c>
      <c r="B17" s="83"/>
      <c r="C17" s="83">
        <v>2020</v>
      </c>
      <c r="D17" s="80"/>
      <c r="E17" s="80"/>
      <c r="F17" s="80">
        <f>F20</f>
        <v>4842429.59</v>
      </c>
      <c r="G17" s="80"/>
      <c r="H17" s="80"/>
      <c r="I17" s="80">
        <f>F17</f>
        <v>4842429.59</v>
      </c>
      <c r="J17" s="80"/>
      <c r="K17" s="80"/>
      <c r="L17" s="80"/>
    </row>
    <row r="18" spans="1:12" ht="16.5" thickBot="1">
      <c r="A18" s="89" t="s">
        <v>137</v>
      </c>
      <c r="B18" s="83"/>
      <c r="C18" s="83"/>
      <c r="D18" s="80"/>
      <c r="E18" s="80"/>
      <c r="F18" s="80"/>
      <c r="G18" s="80"/>
      <c r="H18" s="80"/>
      <c r="I18" s="80">
        <f>F18</f>
        <v>0</v>
      </c>
      <c r="J18" s="80"/>
      <c r="K18" s="80"/>
      <c r="L18" s="80"/>
    </row>
    <row r="19" spans="1:12" ht="41.25" customHeight="1" thickBot="1">
      <c r="A19" s="89" t="s">
        <v>138</v>
      </c>
      <c r="B19" s="81"/>
      <c r="C19" s="83">
        <v>2020</v>
      </c>
      <c r="D19" s="80"/>
      <c r="E19" s="80"/>
      <c r="F19" s="80"/>
      <c r="G19" s="80"/>
      <c r="H19" s="80"/>
      <c r="I19" s="80">
        <f>F19</f>
        <v>0</v>
      </c>
      <c r="J19" s="80"/>
      <c r="K19" s="80"/>
      <c r="L19" s="80"/>
    </row>
    <row r="20" spans="1:12" ht="30.75" thickBot="1">
      <c r="A20" s="89" t="s">
        <v>139</v>
      </c>
      <c r="B20" s="83"/>
      <c r="C20" s="83">
        <v>2020</v>
      </c>
      <c r="D20" s="80"/>
      <c r="E20" s="80"/>
      <c r="F20" s="80">
        <v>4842429.59</v>
      </c>
      <c r="G20" s="80"/>
      <c r="H20" s="80"/>
      <c r="I20" s="80">
        <f>F20</f>
        <v>4842429.59</v>
      </c>
      <c r="J20" s="80"/>
      <c r="K20" s="80"/>
      <c r="L20" s="8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hyperlinks>
    <hyperlink ref="G6" r:id="rId1" display="consultantplus://offline/ref=C8A0BA9C5D8B1665050B112B826C8B39B2EB72FE3FF35074E4B92F40EDLE47N"/>
    <hyperlink ref="J6" r:id="rId2" display="consultantplus://offline/ref=C8A0BA9C5D8B1665050B112B826C8B39B2EB72F938F55074E4B92F40EDLE47N"/>
  </hyperlinks>
  <printOptions/>
  <pageMargins left="0.7" right="0.7" top="0.75" bottom="0.75" header="0.3" footer="0.3"/>
  <pageSetup fitToHeight="1" fitToWidth="1" horizontalDpi="600" verticalDpi="600" orientation="landscape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Забудько Ольга Александровна</dc:creator>
  <cp:keywords/>
  <dc:description/>
  <cp:lastModifiedBy>2</cp:lastModifiedBy>
  <cp:lastPrinted>2018-10-25T12:29:03Z</cp:lastPrinted>
  <dcterms:created xsi:type="dcterms:W3CDTF">2011-12-07T10:44:16Z</dcterms:created>
  <dcterms:modified xsi:type="dcterms:W3CDTF">2018-11-13T06:23:28Z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